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XUS2oyqQokFQJkFkoObss1n3qTXU8piDuF6IXhJZinILA5SzkhfkBVl5ubCTwtRqG//SMD7OuL0jumCjxybp2w==" workbookSaltValue="9H1qwDPvKCRwOqFe1Q2T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ES31" i="8"/>
  <c r="N25" i="11"/>
  <c r="R8" i="9"/>
  <c r="BH11" i="16" s="1"/>
  <c r="F16" i="11"/>
  <c r="AQ16" i="11" s="1"/>
  <c r="EP31" i="8"/>
  <c r="AL14" i="16"/>
  <c r="AJ14" i="16"/>
  <c r="EP31" i="19"/>
  <c r="BH16" i="11"/>
  <c r="BF29" i="11"/>
  <c r="S14" i="16"/>
  <c r="P14" i="16"/>
  <c r="F13" i="16"/>
  <c r="Z14" i="17"/>
  <c r="R30" i="17"/>
  <c r="K26" i="2"/>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E23" i="12" l="1"/>
  <c r="BF17" i="8"/>
  <c r="M23" i="2"/>
  <c r="AL21"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<sst xmlns="http://schemas.openxmlformats.org/spreadsheetml/2006/main" count="2682" uniqueCount="1193">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</sst>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9JlitCCKKybAz7rHCdOpm81hDlk58HTiWWfyc8xLeWBT5FUd4qT3DV+vPlsosw+zMlW0kyJ16oeYDuAD1NoWg==" saltValue="5EMLzZ2/5GYc3Edal3dP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11.741573033707864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96</v>
      </c>
      <c r="D17" s="239">
        <f>IF(ISNUMBER(IF(D_I="SI",Datos!I17,Datos!I17+Datos!AC17)),IF(D_I="SI",Datos!I17,Datos!I17+Datos!AC17)," - ")</f>
        <v>95</v>
      </c>
      <c r="E17" s="240">
        <f>IF(ISNUMBER(IF(D_I="SI",Datos!J17,Datos!J17+Datos!AD17)),IF(D_I="SI",Datos!J17,Datos!J17+Datos!AD17)," - ")</f>
        <v>74</v>
      </c>
      <c r="F17" s="240">
        <f>IF(ISNUMBER(IF(D_I="SI",Datos!K17,Datos!K17+Datos!AE17)),IF(D_I="SI",Datos!K17,Datos!K17+Datos!AE17)," - ")</f>
        <v>77</v>
      </c>
      <c r="G17" s="1390" t="str">
        <f>IF(Datos!E17&lt;&gt;"",Datos!E17,Datos!D17)</f>
        <v>04</v>
      </c>
      <c r="H17" s="241">
        <f>IF(ISNUMBER(IF(D_I="SI",Datos!L17,Datos!L17+Datos!AF17)),IF(D_I="SI",Datos!L17,Datos!L17+Datos!AF17)," - ")</f>
        <v>93</v>
      </c>
      <c r="I17" s="1400" t="str">
        <f>IF(ISNUMBER(Datos!AS17/Datos!BM17),Datos!AS17/Datos!BM17," - ")</f>
        <v xml:space="preserve"> - </v>
      </c>
      <c r="J17" s="1401">
        <f>IF(ISNUMBER(Datos!BY17/Datos!CN17),Datos!BY17/Datos!CN17," - ")</f>
        <v>0</v>
      </c>
      <c r="K17" s="244">
        <f t="shared" si="3"/>
        <v>-3.125E-2</v>
      </c>
      <c r="L17" s="1402">
        <f>IF(ISNUMBER(NºAsuntos!I17/NºAsuntos!G17),(NºAsuntos!I17/NºAsuntos!G17)*11," - ")</f>
        <v>13.285714285714286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5</v>
      </c>
      <c r="F18" s="240">
        <f>IF(ISNUMBER(IF(D_I="SI",Datos!K18,Datos!K18+Datos!AE18)),IF(D_I="SI",Datos!K18,Datos!K18+Datos!AE18)," - ")</f>
        <v>6</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v>
      </c>
      <c r="D23" s="1407">
        <f>SUBTOTAL(9,D16:D22)</f>
        <v>100</v>
      </c>
      <c r="E23" s="1408">
        <f>SUBTOTAL(9,E16:E22)</f>
        <v>79</v>
      </c>
      <c r="F23" s="1408">
        <f>SUBTOTAL(9,F16:F22)</f>
        <v>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v>
      </c>
      <c r="D31" s="1435">
        <f>SUBTOTAL(9,D9:D30)</f>
        <v>100</v>
      </c>
      <c r="E31" s="1436">
        <f>SUBTOTAL(9,E9:E30)</f>
        <v>79</v>
      </c>
      <c r="F31" s="1436">
        <f>SUBTOTAL(9,F9:F30)</f>
        <v>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zfL4kytJ3LXP41NFZkNEtoo0WvOEVCsb22AQOVESsxRDzmJIrZlw9mfHSBUsUM8UKD4lt5okzq5qJm1BJGDug==" saltValue="CkJgUQ5hUT97iCPMp4kt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V/wCbWTsC0QanE6rv3b28n7ICpV17V+b959A6YajBua44mdPgKltutfxFp7QLtHMNBAwdNcL3+k1zJ0PTHzug==" saltValue="mFL08bIAcfHHucLVWTqv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v>
      </c>
      <c r="J12" s="196">
        <v>66</v>
      </c>
      <c r="K12" s="196">
        <v>79</v>
      </c>
      <c r="L12" s="196">
        <v>94</v>
      </c>
      <c r="M12" s="196">
        <v>23</v>
      </c>
      <c r="N12" s="196">
        <v>41</v>
      </c>
      <c r="O12" s="194">
        <v>39</v>
      </c>
      <c r="P12" s="196">
        <v>17</v>
      </c>
      <c r="Q12" s="196">
        <v>31</v>
      </c>
      <c r="R12" s="196">
        <v>240</v>
      </c>
      <c r="S12" s="196">
        <v>119</v>
      </c>
      <c r="T12" s="196">
        <v>72</v>
      </c>
      <c r="U12" s="196">
        <v>79</v>
      </c>
      <c r="V12" s="196">
        <v>112</v>
      </c>
      <c r="W12" s="196">
        <v>21</v>
      </c>
      <c r="X12" s="202">
        <v>35</v>
      </c>
      <c r="Y12" s="204">
        <v>7</v>
      </c>
      <c r="Z12" s="194">
        <v>4</v>
      </c>
      <c r="AA12" s="194">
        <v>10</v>
      </c>
      <c r="AB12" s="194">
        <v>1</v>
      </c>
      <c r="AC12" s="196">
        <v>0</v>
      </c>
      <c r="AD12" s="196">
        <v>0</v>
      </c>
      <c r="AE12" s="196">
        <v>0</v>
      </c>
      <c r="AF12" s="202">
        <v>0</v>
      </c>
      <c r="AG12" s="215">
        <v>2</v>
      </c>
      <c r="AH12" s="196">
        <v>9</v>
      </c>
      <c r="AI12" s="196">
        <v>8</v>
      </c>
      <c r="AJ12" s="216">
        <v>3</v>
      </c>
      <c r="AK12" s="195">
        <v>0</v>
      </c>
      <c r="AL12" s="196">
        <v>0</v>
      </c>
      <c r="AM12" s="196">
        <v>0</v>
      </c>
      <c r="AN12" s="202">
        <v>0</v>
      </c>
      <c r="AO12" s="283">
        <v>1</v>
      </c>
      <c r="AP12" s="168">
        <v>1</v>
      </c>
      <c r="AQ12" s="168">
        <v>1</v>
      </c>
      <c r="AR12" s="167">
        <v>1</v>
      </c>
      <c r="AS12" s="381" t="s">
        <v>1075</v>
      </c>
      <c r="AT12" s="216"/>
      <c r="AU12" s="215"/>
      <c r="AV12" s="216"/>
      <c r="AW12" s="215"/>
      <c r="AX12" s="216"/>
      <c r="AY12" s="136">
        <f t="shared" si="1"/>
        <v>121</v>
      </c>
      <c r="AZ12" s="137">
        <f t="shared" si="1"/>
        <v>81</v>
      </c>
      <c r="BA12" s="137">
        <f t="shared" si="1"/>
        <v>87</v>
      </c>
      <c r="BB12" s="137">
        <f t="shared" si="1"/>
        <v>115</v>
      </c>
      <c r="BC12" s="135">
        <f>IF(ISNUMBER(X12),X12," - ")</f>
        <v>35</v>
      </c>
      <c r="BD12" s="136">
        <f t="shared" si="2"/>
        <v>1.0740740740740742</v>
      </c>
      <c r="BE12" s="137">
        <f t="shared" si="3"/>
        <v>1.3218390804597702</v>
      </c>
      <c r="BF12" s="137">
        <f t="shared" si="4"/>
        <v>0.40229885057471265</v>
      </c>
      <c r="BG12" s="209">
        <f t="shared" si="5"/>
        <v>2.3218390804597702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v>
      </c>
      <c r="J14" s="197">
        <f t="shared" si="7"/>
        <v>66</v>
      </c>
      <c r="K14" s="197">
        <f t="shared" si="7"/>
        <v>79</v>
      </c>
      <c r="L14" s="197">
        <f t="shared" si="7"/>
        <v>94</v>
      </c>
      <c r="M14" s="197">
        <f t="shared" si="7"/>
        <v>23</v>
      </c>
      <c r="N14" s="197">
        <f t="shared" si="7"/>
        <v>41</v>
      </c>
      <c r="O14" s="197">
        <f t="shared" si="7"/>
        <v>39</v>
      </c>
      <c r="P14" s="197">
        <f t="shared" si="7"/>
        <v>17</v>
      </c>
      <c r="Q14" s="197">
        <f t="shared" si="7"/>
        <v>31</v>
      </c>
      <c r="R14" s="197">
        <f t="shared" si="7"/>
        <v>240</v>
      </c>
      <c r="S14" s="197">
        <f t="shared" si="7"/>
        <v>119</v>
      </c>
      <c r="T14" s="197">
        <f t="shared" si="7"/>
        <v>72</v>
      </c>
      <c r="U14" s="197">
        <f t="shared" si="7"/>
        <v>79</v>
      </c>
      <c r="V14" s="197">
        <f t="shared" si="7"/>
        <v>112</v>
      </c>
      <c r="W14" s="197">
        <f t="shared" si="7"/>
        <v>21</v>
      </c>
      <c r="X14" s="197">
        <f t="shared" si="7"/>
        <v>35</v>
      </c>
      <c r="Y14" s="197">
        <f t="shared" si="7"/>
        <v>7</v>
      </c>
      <c r="Z14" s="197">
        <f t="shared" si="7"/>
        <v>4</v>
      </c>
      <c r="AA14" s="197">
        <f t="shared" si="7"/>
        <v>10</v>
      </c>
      <c r="AB14" s="197">
        <f t="shared" si="7"/>
        <v>1</v>
      </c>
      <c r="AC14" s="197">
        <f t="shared" si="7"/>
        <v>0</v>
      </c>
      <c r="AD14" s="197">
        <f t="shared" si="7"/>
        <v>0</v>
      </c>
      <c r="AE14" s="197">
        <f t="shared" si="7"/>
        <v>0</v>
      </c>
      <c r="AF14" s="197">
        <f>SUBTOTAL(9,AF9:AF13)</f>
        <v>0</v>
      </c>
      <c r="AG14" s="197">
        <f t="shared" ref="AG14:AT14" si="8">SUBTOTAL(9,AG8:AG13)</f>
        <v>2</v>
      </c>
      <c r="AH14" s="197">
        <f t="shared" si="8"/>
        <v>9</v>
      </c>
      <c r="AI14" s="197">
        <f t="shared" si="8"/>
        <v>8</v>
      </c>
      <c r="AJ14" s="197">
        <f t="shared" si="8"/>
        <v>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121</v>
      </c>
      <c r="AZ14" s="197">
        <f>SUBTOTAL(9,AZ8:AZ13)</f>
        <v>81</v>
      </c>
      <c r="BA14" s="197">
        <f>SUBTOTAL(9,BA8:BA13)</f>
        <v>87</v>
      </c>
      <c r="BB14" s="197">
        <f>SUBTOTAL(9,BB8:BB13)</f>
        <v>115</v>
      </c>
      <c r="BC14" s="197">
        <f>SUBTOTAL(9,BC8:BC13)</f>
        <v>35</v>
      </c>
      <c r="BD14" s="219">
        <f>IF(ISNUMBER(BA14/AZ14),BA14/AZ14," - ")</f>
        <v>1.0740740740740742</v>
      </c>
      <c r="BE14" s="220">
        <f>IF(ISNUMBER(BB14/BA14),BB14/BA14, " - ")</f>
        <v>1.3218390804597702</v>
      </c>
      <c r="BF14" s="220">
        <f>IF(ISNUMBER(BC14/BA14),BC14/BA14, " - ")</f>
        <v>0.40229885057471265</v>
      </c>
      <c r="BG14" s="221">
        <f>IF(ISNUMBER((AY14+AZ14)/BA14),(AY14+AZ14)/BA14," - ")</f>
        <v>2.3218390804597702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v>
      </c>
      <c r="J17" s="196">
        <v>74</v>
      </c>
      <c r="K17" s="196">
        <v>77</v>
      </c>
      <c r="L17" s="196">
        <v>93</v>
      </c>
      <c r="M17" s="196">
        <v>13</v>
      </c>
      <c r="N17" s="196">
        <v>44</v>
      </c>
      <c r="O17" s="194">
        <v>1</v>
      </c>
      <c r="P17" s="196">
        <v>2</v>
      </c>
      <c r="Q17" s="196">
        <v>3</v>
      </c>
      <c r="R17" s="196">
        <v>13</v>
      </c>
      <c r="S17" s="196">
        <v>111</v>
      </c>
      <c r="T17" s="196">
        <v>48</v>
      </c>
      <c r="U17" s="196">
        <v>55</v>
      </c>
      <c r="V17" s="196">
        <v>104</v>
      </c>
      <c r="W17" s="196">
        <v>8</v>
      </c>
      <c r="X17" s="202">
        <v>32</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1</v>
      </c>
      <c r="AP17" s="168">
        <v>1</v>
      </c>
      <c r="AQ17" s="168">
        <v>1</v>
      </c>
      <c r="AR17" s="168">
        <v>1</v>
      </c>
      <c r="AS17" s="381" t="s">
        <v>650</v>
      </c>
      <c r="AT17" s="216"/>
      <c r="AU17" s="215"/>
      <c r="AV17" s="216"/>
      <c r="AW17" s="215"/>
      <c r="AX17" s="216"/>
      <c r="AY17" s="136">
        <f t="shared" si="10"/>
        <v>111</v>
      </c>
      <c r="AZ17" s="137">
        <f t="shared" si="10"/>
        <v>48</v>
      </c>
      <c r="BA17" s="137">
        <f t="shared" si="10"/>
        <v>55</v>
      </c>
      <c r="BB17" s="137">
        <f t="shared" si="10"/>
        <v>104</v>
      </c>
      <c r="BC17" s="135">
        <f>IF(ISNUMBER(W17),W17," - ")</f>
        <v>8</v>
      </c>
      <c r="BD17" s="136">
        <f t="shared" ref="BD17:BD22" si="12">IF(ISNUMBER(BA17/AZ17),BA17/AZ17," - ")</f>
        <v>1.1458333333333333</v>
      </c>
      <c r="BE17" s="137">
        <f t="shared" ref="BE17:BE22" si="13">IF(ISNUMBER(BB17/BA17),BB17/BA17, " - ")</f>
        <v>1.8909090909090909</v>
      </c>
      <c r="BF17" s="137">
        <f t="shared" ref="BF17:BF22" si="14">IF(ISNUMBER(BC17/BA17),BC17/BA17, " - ")</f>
        <v>0.14545454545454545</v>
      </c>
      <c r="BG17" s="209">
        <f t="shared" si="11"/>
        <v>2.8909090909090911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5</v>
      </c>
      <c r="K18" s="196">
        <v>6</v>
      </c>
      <c r="L18" s="196">
        <v>4</v>
      </c>
      <c r="M18" s="196">
        <v>0</v>
      </c>
      <c r="N18" s="196">
        <v>3</v>
      </c>
      <c r="O18" s="196">
        <v>0</v>
      </c>
      <c r="P18" s="196">
        <v>0</v>
      </c>
      <c r="Q18" s="196">
        <v>0</v>
      </c>
      <c r="R18" s="196">
        <v>0</v>
      </c>
      <c r="S18" s="196">
        <v>1</v>
      </c>
      <c r="T18" s="196">
        <v>0</v>
      </c>
      <c r="U18" s="196">
        <v>0</v>
      </c>
      <c r="V18" s="196">
        <v>1</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0</v>
      </c>
      <c r="BA18" s="139">
        <f t="shared" si="15"/>
        <v>0</v>
      </c>
      <c r="BB18" s="139">
        <f t="shared" si="15"/>
        <v>1</v>
      </c>
      <c r="BC18" s="135">
        <f>IF(ISNUMBER(W18),W18," - ")</f>
        <v>0</v>
      </c>
      <c r="BD18" s="136" t="str">
        <f>IF(ISNUMBER(BA18/AZ18),BA18/AZ18," - ")</f>
        <v xml:space="preserve"> - </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100</v>
      </c>
      <c r="J23" s="197">
        <f t="shared" si="21"/>
        <v>79</v>
      </c>
      <c r="K23" s="197">
        <f t="shared" si="21"/>
        <v>83</v>
      </c>
      <c r="L23" s="197">
        <f t="shared" si="21"/>
        <v>97</v>
      </c>
      <c r="M23" s="197">
        <f t="shared" si="21"/>
        <v>13</v>
      </c>
      <c r="N23" s="197">
        <f t="shared" si="21"/>
        <v>47</v>
      </c>
      <c r="O23" s="197">
        <f t="shared" si="21"/>
        <v>1</v>
      </c>
      <c r="P23" s="197">
        <f t="shared" si="21"/>
        <v>2</v>
      </c>
      <c r="Q23" s="197">
        <f t="shared" si="21"/>
        <v>3</v>
      </c>
      <c r="R23" s="197">
        <f t="shared" si="21"/>
        <v>13</v>
      </c>
      <c r="S23" s="197">
        <f t="shared" si="21"/>
        <v>112</v>
      </c>
      <c r="T23" s="197">
        <f t="shared" si="21"/>
        <v>48</v>
      </c>
      <c r="U23" s="197">
        <f t="shared" si="21"/>
        <v>55</v>
      </c>
      <c r="V23" s="197">
        <f t="shared" si="21"/>
        <v>105</v>
      </c>
      <c r="W23" s="197">
        <f t="shared" si="21"/>
        <v>8</v>
      </c>
      <c r="X23" s="197">
        <f t="shared" si="21"/>
        <v>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112</v>
      </c>
      <c r="AZ23" s="197">
        <f>SUBTOTAL(9,AZ15:AZ22)</f>
        <v>48</v>
      </c>
      <c r="BA23" s="197">
        <f>SUBTOTAL(9,BA15:BA22)</f>
        <v>55</v>
      </c>
      <c r="BB23" s="197">
        <f>SUBTOTAL(9,BB15:BB22)</f>
        <v>105</v>
      </c>
      <c r="BC23" s="197">
        <f>SUBTOTAL(9,BC15:BC22)</f>
        <v>8</v>
      </c>
      <c r="BD23" s="219">
        <f>IF(ISNUMBER(BA23/AZ23),BA23/AZ23," - ")</f>
        <v>1.1458333333333333</v>
      </c>
      <c r="BE23" s="220">
        <f>IF(ISNUMBER(BB23/BA23),BB23/BA23, " - ")</f>
        <v>1.9090909090909092</v>
      </c>
      <c r="BF23" s="220">
        <f>IF(ISNUMBER(BC23/BA23),BC23/BA23, " - ")</f>
        <v>0.14545454545454545</v>
      </c>
      <c r="BG23" s="221">
        <f>IF(ISNUMBER((AY23+AZ23)/BA23),(AY23+AZ23)/BA23," - ")</f>
        <v>2.9090909090909092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207</v>
      </c>
      <c r="J31" s="144">
        <f t="shared" si="36"/>
        <v>145</v>
      </c>
      <c r="K31" s="144">
        <f t="shared" si="36"/>
        <v>162</v>
      </c>
      <c r="L31" s="144">
        <f t="shared" si="36"/>
        <v>191</v>
      </c>
      <c r="M31" s="144">
        <f t="shared" si="36"/>
        <v>36</v>
      </c>
      <c r="N31" s="144">
        <f t="shared" si="36"/>
        <v>88</v>
      </c>
      <c r="O31" s="144">
        <f t="shared" si="36"/>
        <v>40</v>
      </c>
      <c r="P31" s="144">
        <f t="shared" si="36"/>
        <v>19</v>
      </c>
      <c r="Q31" s="144">
        <f t="shared" si="36"/>
        <v>34</v>
      </c>
      <c r="R31" s="144">
        <f t="shared" si="36"/>
        <v>253</v>
      </c>
      <c r="S31" s="144">
        <f t="shared" si="36"/>
        <v>231</v>
      </c>
      <c r="T31" s="144">
        <f t="shared" si="36"/>
        <v>120</v>
      </c>
      <c r="U31" s="144">
        <f t="shared" si="36"/>
        <v>134</v>
      </c>
      <c r="V31" s="144">
        <f t="shared" si="36"/>
        <v>217</v>
      </c>
      <c r="W31" s="144">
        <f t="shared" si="36"/>
        <v>29</v>
      </c>
      <c r="X31" s="144">
        <f t="shared" si="36"/>
        <v>67</v>
      </c>
      <c r="Y31" s="144">
        <f t="shared" si="36"/>
        <v>7</v>
      </c>
      <c r="Z31" s="144">
        <f t="shared" si="36"/>
        <v>4</v>
      </c>
      <c r="AA31" s="144">
        <f t="shared" si="36"/>
        <v>10</v>
      </c>
      <c r="AB31" s="144">
        <f t="shared" si="36"/>
        <v>1</v>
      </c>
      <c r="AC31" s="144">
        <f t="shared" si="36"/>
        <v>0</v>
      </c>
      <c r="AD31" s="144">
        <f t="shared" si="36"/>
        <v>0</v>
      </c>
      <c r="AE31" s="144">
        <f t="shared" si="36"/>
        <v>0</v>
      </c>
      <c r="AF31" s="144">
        <f t="shared" si="36"/>
        <v>0</v>
      </c>
      <c r="AG31" s="144">
        <f t="shared" si="36"/>
        <v>2</v>
      </c>
      <c r="AH31" s="144">
        <f t="shared" si="36"/>
        <v>9</v>
      </c>
      <c r="AI31" s="144">
        <f t="shared" si="36"/>
        <v>8</v>
      </c>
      <c r="AJ31" s="144">
        <f t="shared" si="36"/>
        <v>3</v>
      </c>
      <c r="AK31" s="144">
        <f t="shared" si="36"/>
        <v>1</v>
      </c>
      <c r="AL31" s="144">
        <f t="shared" si="36"/>
        <v>0</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233</v>
      </c>
      <c r="AZ31" s="144">
        <f>SUBTOTAL(9,AZ9:AZ30)</f>
        <v>129</v>
      </c>
      <c r="BA31" s="144">
        <f>SUBTOTAL(9,BA9:BA30)</f>
        <v>142</v>
      </c>
      <c r="BB31" s="144">
        <f>SUBTOTAL(9,BB9:BB30)</f>
        <v>220</v>
      </c>
      <c r="BC31" s="145">
        <f>SUBTOTAL(9,BC9:BC30)</f>
        <v>43</v>
      </c>
      <c r="BD31" s="227">
        <f>IF(ISNUMBER(BA31/AZ31),BA31/AZ31," - ")</f>
        <v>1.1007751937984496</v>
      </c>
      <c r="BE31" s="224">
        <f>IF(ISNUMBER(BB31/BA31),BB31/BA31, " - ")</f>
        <v>1.5492957746478873</v>
      </c>
      <c r="BF31" s="224">
        <f>IF(ISNUMBER(BC31/BA31),BC31/BA31, " - ")</f>
        <v>0.30281690140845069</v>
      </c>
      <c r="BG31" s="145">
        <f>IF(ISNUMBER((AY31+AZ31)/BA31),(AY31+AZ31)/BA31," - ")</f>
        <v>2.5492957746478875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0eEzKbkY7agTrqO2RLkGT9viWBUmTEaSfI4y3NdizDtcLmODBmw8dc7/OiO0GZdO+PN8oNr40OWjfw5yCTuDg==" saltValue="NZ3vg3BqrcGXJrPBdW99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fu6ZmXGlA1EFj9Cb5/kw12pMDkb87Sq66RB2spK3V6IvGRkRs7cLr2PZroQ78YC0GhVJvaDsx9/4YO0z9xzQ==" saltValue="iCrlFyBglgp0gks7a0OU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VITIGUDINO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240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1.2714285714285714</v>
      </c>
      <c r="BH12" s="764">
        <f>IF(ISNUMBER(((IF(J_V="SI",Datos!L12/Datos!K12,(Datos!L12+Datos!AB12)/(Datos!K12+Datos!AA12)))*11)/factor_trimestre),((IF(J_V="SI",Datos!L12/Datos!K12,(Datos!L12+Datos!AB12)/(Datos!K12+Datos!AA12)))*11)/factor_trimestre," - ")</f>
        <v>3.2022471910112356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-5.5118110236220472E-2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31</v>
      </c>
      <c r="AD14" s="1198">
        <f t="shared" si="2"/>
        <v>0</v>
      </c>
      <c r="AE14" s="1198">
        <f t="shared" si="2"/>
        <v>0</v>
      </c>
      <c r="AF14" s="1198">
        <f t="shared" si="2"/>
        <v>0</v>
      </c>
      <c r="AG14" s="1198">
        <f t="shared" si="2"/>
        <v>0</v>
      </c>
      <c r="AH14" s="1198">
        <f t="shared" si="2"/>
        <v>1</v>
      </c>
      <c r="AI14" s="1198">
        <f t="shared" si="2"/>
        <v>0</v>
      </c>
      <c r="AJ14" s="1198">
        <f t="shared" si="2"/>
        <v>0</v>
      </c>
      <c r="AK14" s="1198">
        <f t="shared" si="2"/>
        <v>0</v>
      </c>
      <c r="AL14" s="1198">
        <f t="shared" si="2"/>
        <v>0</v>
      </c>
      <c r="AM14" s="1198">
        <f t="shared" si="2"/>
        <v>240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41</v>
      </c>
      <c r="BE14" s="1198">
        <f t="shared" si="2"/>
        <v>0</v>
      </c>
      <c r="BF14" s="1198">
        <f t="shared" si="2"/>
        <v>0</v>
      </c>
      <c r="BG14" s="1198">
        <f>IF(ISNUMBER(Datos!K14/Datos!J14),Datos!K14/Datos!J14," - ")</f>
        <v>1.196969696969697</v>
      </c>
      <c r="BH14" s="1202">
        <f>IF(ISNUMBER(((Datos!L14/Datos!K14)*11)/factor_trimestre),((Datos!L14/Datos!K14)*11)/factor_trimestre," - ")</f>
        <v>3.5696202531645569</v>
      </c>
      <c r="BI14" s="1198">
        <f>IF(ISNUMBER('Resol  Asuntos'!D14/NºAsuntos!G14),'Resol  Asuntos'!D14/NºAsuntos!G14," - ")</f>
        <v>0.25842696629213485</v>
      </c>
      <c r="BJ14" s="1198" t="str">
        <f>IF(ISNUMBER(Datos!CI14/Datos!CJ14),Datos!CI14/Datos!CJ14," - ")</f>
        <v xml:space="preserve"> - </v>
      </c>
      <c r="BK14" s="1198">
        <f>SUBTOTAL(9,BK8:BK13)</f>
        <v>0</v>
      </c>
      <c r="BL14" s="1198" t="str">
        <f>IF(ISNUMBER((I14-AB14+L14)/(F14)),(I14-AB14+L14)/(F14)," - ")</f>
        <v xml:space="preserve"> - </v>
      </c>
      <c r="BM14" s="1203">
        <f>SUBTOTAL(9,BM9:BM13)</f>
        <v>-5.5118110236220472E-2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96</v>
      </c>
      <c r="G17" s="743">
        <f>IF(ISNUMBER(IF(D_I="SI",Datos!I17,Datos!I17+Datos!AC17)),IF(D_I="SI",Datos!I17,Datos!I17+Datos!AC17)," - ")</f>
        <v>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77</v>
      </c>
      <c r="AC17" s="240">
        <f>IF(ISNUMBER(Datos!Q17),Datos!Q17," - ")</f>
        <v>3</v>
      </c>
      <c r="AD17" s="374"/>
      <c r="AE17" s="562"/>
      <c r="AF17" s="741">
        <f>IF(ISNUMBER(IF(D_I="SI",Datos!L17,Datos!L17+Datos!AF17)),IF(D_I="SI",Datos!L17,Datos!L17+Datos!AF17)," - ")</f>
        <v>93</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1.0405405405405406</v>
      </c>
      <c r="BH17" s="764">
        <f>IF(ISNUMBER(((IF(D_I="SI",Datos!L17/Datos!K17,(Datos!L17+Datos!AF17)/(Datos!K17+Datos!AE17)))*11)/factor_trimestre),((IF(D_I="SI",Datos!L17/Datos!K17,(Datos!L17+Datos!AF17)/(Datos!K17+Datos!AE17)))*11)/factor_trimestre," - ")</f>
        <v>3.6233766233766236</v>
      </c>
      <c r="BI17" s="266">
        <f>IF(ISNUMBER('Resol  Asuntos'!D17/NºAsuntos!G17),'Resol  Asuntos'!D17/NºAsuntos!G17," - ")</f>
        <v>0.16883116883116883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v>
      </c>
      <c r="BH18" s="764">
        <f>IF(ISNUMBER(((IF(D_I="SI",Datos!L18/Datos!K18,(Datos!L18+Datos!AF18)/(Datos!K18+Datos!AE18)))*11)/factor_trimestre),((IF(D_I="SI",Datos!L18/Datos!K18,(Datos!L18+Datos!AF18)/(Datos!K18+Datos!AE18)))*11)/factor_trimestre," - ")</f>
        <v>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96</v>
      </c>
      <c r="G23" s="1197">
        <f>SUBTOTAL(9,G16:G22)</f>
        <v>100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83</v>
      </c>
      <c r="AC23" s="1198">
        <f t="shared" si="5"/>
        <v>3</v>
      </c>
      <c r="AD23" s="1198">
        <f t="shared" si="5"/>
        <v>0</v>
      </c>
      <c r="AE23" s="1198">
        <f t="shared" si="5"/>
        <v>0</v>
      </c>
      <c r="AF23" s="1198">
        <f t="shared" si="5"/>
        <v>97</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47</v>
      </c>
      <c r="BE23" s="1198">
        <f t="shared" si="5"/>
        <v>0</v>
      </c>
      <c r="BF23" s="1198">
        <f t="shared" si="5"/>
        <v>0</v>
      </c>
      <c r="BG23" s="1198">
        <f>IF(ISNUMBER(Datos!K23/Datos!J23),Datos!K23/Datos!J23," - ")</f>
        <v>1.0506329113924051</v>
      </c>
      <c r="BH23" s="1202">
        <f>IF(ISNUMBER(((Datos!L23/Datos!K23)*11)/factor_trimestre),((Datos!L23/Datos!K23)*11)/factor_trimestre," - ")</f>
        <v>3.5060240963855427</v>
      </c>
      <c r="BI23" s="1198">
        <f>SUBTOTAL(9,BI16:BI22)</f>
        <v>0.16883116883116883</v>
      </c>
      <c r="BJ23" s="1198">
        <f>SUBTOTAL(9,BJ16:BJ22)</f>
        <v>0</v>
      </c>
      <c r="BK23" s="1198">
        <f>SUBTOTAL(9,BK16:BK22)</f>
        <v>0</v>
      </c>
      <c r="BL23" s="1198">
        <f>IF(ISNUMBER((I23-AB23+L23)/(F23)),(I23-AB23+L23)/(F23)," - ")</f>
        <v>-0.86458333333333337</v>
      </c>
      <c r="BM23" s="1205">
        <f>IF(ISNUMBER((Datos!P23-Datos!Q23)/(Datos!R23-Datos!P23+Datos!Q23)),(Datos!P23-Datos!Q23)/(Datos!R23-Datos!P23+Datos!Q23)," - ")</f>
        <v>-7.1428571428571425E-2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96</v>
      </c>
      <c r="G31" s="1117">
        <f t="shared" si="18"/>
        <v>100</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83</v>
      </c>
      <c r="AC31" s="1118">
        <f t="shared" si="19"/>
        <v>34</v>
      </c>
      <c r="AD31" s="1118">
        <f t="shared" si="19"/>
        <v>0</v>
      </c>
      <c r="AE31" s="1118">
        <f t="shared" si="19"/>
        <v>0</v>
      </c>
      <c r="AF31" s="1125">
        <f t="shared" si="19"/>
        <v>97</v>
      </c>
      <c r="AG31" s="1125">
        <f t="shared" si="19"/>
        <v>0</v>
      </c>
      <c r="AH31" s="1125">
        <f t="shared" si="19"/>
        <v>1</v>
      </c>
      <c r="AI31" s="1125">
        <f t="shared" si="19"/>
        <v>0</v>
      </c>
      <c r="AJ31" s="1118">
        <f t="shared" si="19"/>
        <v>0</v>
      </c>
      <c r="AK31" s="1125">
        <f t="shared" si="19"/>
        <v>0</v>
      </c>
      <c r="AL31" s="1125">
        <f t="shared" si="19"/>
        <v>0</v>
      </c>
      <c r="AM31" s="1125">
        <f t="shared" si="19"/>
        <v>253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88</v>
      </c>
      <c r="BE31" s="1117">
        <f t="shared" si="19"/>
        <v>0</v>
      </c>
      <c r="BF31" s="1127">
        <f t="shared" si="19"/>
        <v>0</v>
      </c>
      <c r="BG31" s="1223">
        <f>IF(ISNUMBER(Datos!K31/Datos!J31),Datos!K31/Datos!J31," - ")</f>
        <v>1.1172413793103448</v>
      </c>
      <c r="BH31" s="1223">
        <f>IF(ISNUMBER(((Datos!L31/Datos!K31)*11)/factor_trimestre),((Datos!L31/Datos!K31)*11)/factor_trimestre," - ")</f>
        <v>3.5370370370370368</v>
      </c>
      <c r="BI31" s="1103">
        <f>IF(ISNUMBER(Datos!J31/Datos!I31),Datos!J31/Datos!I31," - ")</f>
        <v>0.70048309178743962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-0.86458333333333337</v>
      </c>
      <c r="BM31" s="1188">
        <f>IF(ISNUMBER((Datos!P31-Datos!Q31+R31)/(Datos!R31-Datos!P31+Datos!Q31-R31)),(Datos!P31-Datos!Q31+R31)/(Datos!R31-Datos!P31+Datos!Q31-R31)," - ")</f>
        <v>-5.5970149253731345E-2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28.571428571428573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49.574186831454938</v>
      </c>
      <c r="G33" s="674">
        <f>IF(ISNUMBER(STDEV(G8:G30)),STDEV(G8:G30),"-")</f>
        <v>47.144660860155177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38.551758652986187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10.337172865786025</v>
      </c>
      <c r="BD33" s="673"/>
      <c r="BE33" s="673">
        <f>IF(ISNUMBER(STDEV(BE8:BE30)),STDEV(BE8:BE30),"-")</f>
        <v>0</v>
      </c>
      <c r="BF33" s="678">
        <f>IF(ISNUMBER(STDEV(BF8:BF30)),STDEV(BF8:BF30),"-")</f>
        <v>0</v>
      </c>
      <c r="BG33" s="1052">
        <f>IF(ISNUMBER(STDEV(BG8:BG30)),STDEV(BG8:BG30),"-")</f>
        <v>0.10159714364845067</v>
      </c>
      <c r="BH33" s="1058">
        <f>IF(ISNUMBER(STDEV(BH8:BH30)),STDEV(BH8:BH30),"-")</f>
        <v>0.67962730579281738</v>
      </c>
      <c r="BI33" s="273">
        <f>IF(ISNUMBER(STDEV(BI8:BI30)),STDEV(BI8:BI30),"-")</f>
        <v>0.10795339962613738</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PICvMUYykx6bGQhYNQTY8rEL10Arc9PHVCYN+Lx5XXbD3jQMZqdK+NdzooXgkP6vp2O0yr4a8TT48aL4/G1yw==" saltValue="V0RavgBIUb259OxNNv6x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VITIGUDINO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240</v>
      </c>
      <c r="AF12" s="693" t="str">
        <f>IF(ISNUMBER(Datos!BV12),Datos!BV12," - ")</f>
        <v xml:space="preserve"> - </v>
      </c>
      <c r="AG12" s="552" t="str">
        <f>IF(ISNUMBER(Datos!DV12),Datos!DV12," - ")</f>
        <v xml:space="preserve"> - </v>
      </c>
      <c r="AH12" s="553"/>
      <c r="AI12" s="554"/>
      <c r="AJ12" s="552">
        <f>IF(ISNUMBER(Datos!M12),Datos!M12," - ")</f>
        <v>23</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3.2022471910112356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-5.5118110236220472E-2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31</v>
      </c>
      <c r="AA14" s="1199">
        <f t="shared" si="3"/>
        <v>0</v>
      </c>
      <c r="AB14" s="1199">
        <f t="shared" si="3"/>
        <v>0</v>
      </c>
      <c r="AC14" s="1199">
        <f t="shared" si="3"/>
        <v>0</v>
      </c>
      <c r="AD14" s="1199">
        <f t="shared" si="3"/>
        <v>0</v>
      </c>
      <c r="AE14" s="1199">
        <f t="shared" si="3"/>
        <v>240</v>
      </c>
      <c r="AF14" s="1211">
        <f t="shared" si="3"/>
        <v>0</v>
      </c>
      <c r="AG14" s="1211">
        <f t="shared" si="3"/>
        <v>0</v>
      </c>
      <c r="AH14" s="1211">
        <f t="shared" si="3"/>
        <v>0</v>
      </c>
      <c r="AI14" s="1211">
        <f t="shared" si="3"/>
        <v>0</v>
      </c>
      <c r="AJ14" s="1211">
        <f t="shared" si="3"/>
        <v>23</v>
      </c>
      <c r="AK14" s="1211">
        <f t="shared" si="3"/>
        <v>41</v>
      </c>
      <c r="AL14" s="1211">
        <f t="shared" si="3"/>
        <v>0</v>
      </c>
      <c r="AM14" s="1211">
        <f t="shared" si="3"/>
        <v>0</v>
      </c>
      <c r="AN14" s="1211">
        <f t="shared" si="3"/>
        <v>0</v>
      </c>
      <c r="AO14" s="1203">
        <f>IF(ISNUMBER(((NºAsuntos!I14/NºAsuntos!G14)*11)/factor_trimestre),((NºAsuntos!I14/NºAsuntos!G14)*11)/factor_trimestre," - ")</f>
        <v>3.2022471910112356</v>
      </c>
      <c r="AP14" s="1213" t="str">
        <f>IF(ISNUMBER(Datos!CI14/Datos!CJ14),Datos!CI14/Datos!CJ14," - ")</f>
        <v xml:space="preserve"> - </v>
      </c>
      <c r="AQ14" s="1236">
        <f t="shared" ref="AQ14:AV14" si="4">SUBTOTAL(9,AQ9:AQ13)</f>
        <v>0</v>
      </c>
      <c r="AR14" s="1236">
        <f t="shared" si="4"/>
        <v>-5.5118110236220472E-2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96</v>
      </c>
      <c r="G17" s="552">
        <f>IF(ISNUMBER(IF(D_I="SI",Datos!I17,Datos!I17+Datos!AC17)),IF(D_I="SI",Datos!I17,Datos!I17+Datos!AC17)," - ")</f>
        <v>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77</v>
      </c>
      <c r="Z17" s="805">
        <f>IF(ISNUMBER(Datos!Q17),Datos!Q17," - ")</f>
        <v>3</v>
      </c>
      <c r="AA17" s="551">
        <f>IF(ISNUMBER(IF(D_I="SI",Datos!L17,Datos!L17+Datos!AF17)),IF(D_I="SI",Datos!L17,Datos!L17+Datos!AF17)," - ")</f>
        <v>93</v>
      </c>
      <c r="AB17" s="549"/>
      <c r="AC17" s="549"/>
      <c r="AD17" s="563"/>
      <c r="AE17" s="563">
        <f>IF(ISNUMBER(Datos!R17),Datos!R17," - ")</f>
        <v>13</v>
      </c>
      <c r="AF17" s="693" t="str">
        <f>IF(ISNUMBER(Datos!BV17),Datos!BV17," - ")</f>
        <v xml:space="preserve"> - </v>
      </c>
      <c r="AG17" s="552"/>
      <c r="AH17" s="553"/>
      <c r="AI17" s="554"/>
      <c r="AJ17" s="552">
        <f>IF(ISNUMBER(Datos!M17),Datos!M17," - ")</f>
        <v>13</v>
      </c>
      <c r="AK17" s="693">
        <f>IF(ISNUMBER(Datos!N17),Datos!N17," - ")</f>
        <v>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3.6233766233766236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96</v>
      </c>
      <c r="G23" s="1197">
        <f>SUBTOTAL(9,G16:G22)</f>
        <v>100</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83</v>
      </c>
      <c r="Z23" s="1240">
        <f t="shared" si="6"/>
        <v>3</v>
      </c>
      <c r="AA23" s="1240">
        <f t="shared" si="6"/>
        <v>97</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13</v>
      </c>
      <c r="AK23" s="1240">
        <f t="shared" si="6"/>
        <v>47</v>
      </c>
      <c r="AL23" s="1240">
        <f t="shared" si="6"/>
        <v>0</v>
      </c>
      <c r="AM23" s="1240">
        <f t="shared" si="6"/>
        <v>0</v>
      </c>
      <c r="AN23" s="1240">
        <f t="shared" si="6"/>
        <v>0</v>
      </c>
      <c r="AO23" s="1242">
        <f>IF(ISNUMBER(((NºAsuntos!I23/NºAsuntos!G23)*11)/factor_trimestre),((NºAsuntos!I23/NºAsuntos!G23)*11)/factor_trimestre," - ")</f>
        <v>3.5060240963855427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96</v>
      </c>
      <c r="G31" s="1117">
        <f t="shared" si="12"/>
        <v>100</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83</v>
      </c>
      <c r="Z31" s="1124">
        <f t="shared" si="13"/>
        <v>34</v>
      </c>
      <c r="AA31" s="1125">
        <f t="shared" si="13"/>
        <v>97</v>
      </c>
      <c r="AB31" s="1125">
        <f t="shared" si="13"/>
        <v>0</v>
      </c>
      <c r="AC31" s="1125">
        <f t="shared" si="13"/>
        <v>0</v>
      </c>
      <c r="AD31" s="1126">
        <f t="shared" si="13"/>
        <v>0</v>
      </c>
      <c r="AE31" s="1126">
        <f t="shared" si="13"/>
        <v>253</v>
      </c>
      <c r="AF31" s="1127">
        <f t="shared" si="13"/>
        <v>0</v>
      </c>
      <c r="AG31" s="1128">
        <f t="shared" si="13"/>
        <v>0</v>
      </c>
      <c r="AH31" s="1129">
        <f t="shared" si="13"/>
        <v>0</v>
      </c>
      <c r="AI31" s="1127">
        <f t="shared" si="13"/>
        <v>0</v>
      </c>
      <c r="AJ31" s="1117">
        <f t="shared" si="13"/>
        <v>36</v>
      </c>
      <c r="AK31" s="1117">
        <f t="shared" si="13"/>
        <v>88</v>
      </c>
      <c r="AL31" s="1117">
        <f t="shared" si="13"/>
        <v>0</v>
      </c>
      <c r="AM31" s="1130">
        <f t="shared" si="13"/>
        <v>0</v>
      </c>
      <c r="AN31" s="1120">
        <f>IF(ISNUMBER(Datos!K31/Datos!J31),Datos!K31/Datos!J31," - ")</f>
        <v>1.1172413793103448</v>
      </c>
      <c r="AO31" s="1120">
        <f>IF(ISNUMBER(FIND("06",Criterios!A8,1)),(IF(ISNUMBER(((Datos!R31/Datos!Q31)*11)/factor_trimestre),((Datos!R31/Datos!Q31)*11)/factor_trimestre," - ")),(IF(ISNUMBER(((Datos!L31/Datos!K31)*11)/factor_trimestre),((Datos!L31/Datos!K31)*11)/factor_trimestre," - ")))</f>
        <v>3.5370370370370368</v>
      </c>
      <c r="AP31" s="1131" t="str">
        <f>IF(ISNUMBER(Datos!CI31/Datos!CJ31),Datos!CI31/Datos!CJ31," - ")</f>
        <v xml:space="preserve"> - </v>
      </c>
      <c r="AQ31" s="1131">
        <f>IF(OR(ISNUMBER(FIND("01",Criterios!A8,1)),ISNUMBER(FIND("02",Criterios!A8,1)),ISNUMBER(FIND("03",Criterios!A8,1)),ISNUMBER(FIND("04",Criterios!A8,1))),(J31-Y31+K31)/(F31-K31),(I31-Y31+K31)/(F31-K31))</f>
        <v>-0.86458333333333337</v>
      </c>
      <c r="AR31" s="1131">
        <f>IF(ISNUMBER((Datos!P31-Datos!Q31+O31)/(Datos!R31-Datos!P31+Datos!Q31-O31)),(Datos!P31-Datos!Q31+O31)/(Datos!R31-Datos!P31+Datos!Q31-O31)," - ")</f>
        <v>-5.5970149253731345E-2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28.571428571428573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49.574186831454938</v>
      </c>
      <c r="G33" s="674">
        <f>IF(ISNUMBER(STDEV(G8:G30)),STDEV(G8:G30),"-")</f>
        <v>47.144660860155177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10.337172865786025</v>
      </c>
      <c r="AK33" s="276"/>
      <c r="AL33" s="276">
        <f>IF(ISNUMBER(STDEV(AL8:AL30)),STDEV(AL8:AL30),"-")</f>
        <v>0</v>
      </c>
      <c r="AM33" s="278">
        <f>IF(ISNUMBER(STDEV(AM8:AM30)),STDEV(AM8:AM30),"-")</f>
        <v>0</v>
      </c>
      <c r="AN33" s="660">
        <f>IF(ISNUMBER(STDEV(AN8:AN30)),STDEV(AN8:AN30),"-")</f>
        <v>0</v>
      </c>
      <c r="AO33" s="661">
        <f>IF(ISNUMBER(STDEV(AO8:AO30)),STDEV(AO8:AO30),"-")</f>
        <v>0.64603750999790543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CbUNj8fkwKmc5mrWbFfwbc0qbAVdO0gffBWT0ZpIGGtdW3xqN1rQAK/xH4ce9gXPoaVU0sb073s/NQFHW23cQ==" saltValue="+oALA5BWG8LOl4Gk9nFe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uwWAzFO09sBF2inaAujRD+mQYXvThFh93Y/L6/7L3h6hfI/XP69CsMXkYK7TTz+SWgH+c6fi51JYOp82F2LlA==" saltValue="qr+uissWmbPaNiBPoKVj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ZFa+6UHVQN6lcHv6dxjI5jpaYvPTH27aQ+k/a8q6azXz8YnQp6JJEkCP37cVT8d2UA8mLP53OVaQDFb7BKWvQ==" saltValue="yUB36fG5dmZclw4AXfQG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VITIGUDINO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0.25842696629213485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0.1827354603066359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473YBqUzbURFUsBh1XVEnz2ujo+NIKX/r9mM5c+9lIJ8S+qKYM3AE9eeY5heSXQFQqZ7s4xX20JYCOpFghsw==" saltValue="I+PKgszfdQRP5PgT1ntx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w0lvgMqihy3AwzQAIrBYN+QtlkOpAqDqY8Yhufrwc+tVHT1dGtFVFcCmayNkPQqy2CQ+FZEM/2UJwVTVkjZZQ==" saltValue="iSui9l8QDICJ9Y9K17uD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VITIGUDINO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114</v>
      </c>
      <c r="D12" s="452">
        <f>IF(ISNUMBER(C12/Datos!BH12),C12/Datos!BH12," - ")</f>
        <v>114</v>
      </c>
      <c r="E12" s="451">
        <f>IF(ISNUMBER(IF(J_V="SI",Datos!J12,Datos!J12+Datos!Z12)),IF(J_V="SI",Datos!J12,Datos!J12+Datos!Z12)," - ")</f>
        <v>70</v>
      </c>
      <c r="F12" s="452">
        <f>IF(ISNUMBER(E12/B12),E12/B12," - ")</f>
        <v>70</v>
      </c>
      <c r="G12" s="451">
        <f>IF(ISNUMBER(IF(J_V="SI",Datos!K12,Datos!K12+Datos!AA12)),IF(J_V="SI",Datos!K12,Datos!K12+Datos!AA12)," - ")</f>
        <v>89</v>
      </c>
      <c r="H12" s="452">
        <f>IF(ISNUMBER(G12/B12),G12/B12," - ")</f>
        <v>89</v>
      </c>
      <c r="I12" s="451">
        <f>IF(ISNUMBER(IF(J_V="SI",Datos!L12,Datos!L12+Datos!AB12)),IF(J_V="SI",Datos!L12,Datos!L12+Datos!AB12)," - ")</f>
        <v>95</v>
      </c>
      <c r="J12" s="452">
        <f>IF(ISNUMBER(I12/B12),I12/B12," - ")</f>
        <v>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114</v>
      </c>
      <c r="D14" s="1147" t="str">
        <f>IF(ISNUMBER(C14/Datos!BI14),C14/Datos!BI14," - ")</f>
        <v xml:space="preserve"> - </v>
      </c>
      <c r="E14" s="1146">
        <f>SUBTOTAL(9,E8:E13)</f>
        <v>70</v>
      </c>
      <c r="F14" s="1147">
        <f>IF(ISNUMBER(E14/B14),E14/B14," - ")</f>
        <v>70</v>
      </c>
      <c r="G14" s="1146">
        <f>SUBTOTAL(9,G8:G13)</f>
        <v>89</v>
      </c>
      <c r="H14" s="1147">
        <f>IF(ISNUMBER(G14/B14),G14/B14," - ")</f>
        <v>89</v>
      </c>
      <c r="I14" s="1146">
        <f>SUBTOTAL(9,I8:I13)</f>
        <v>95</v>
      </c>
      <c r="J14" s="1147">
        <f>IF(ISNUMBER(I14/B14),I14/B14," - ")</f>
        <v>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95</v>
      </c>
      <c r="D17" s="452">
        <f>IF(ISNUMBER(C17/Datos!BH17),C17/Datos!BH17," - ")</f>
        <v>95</v>
      </c>
      <c r="E17" s="451">
        <f>IF(ISNUMBER(IF(D_I="SI",Datos!J17,Datos!J17+Datos!AD17)),IF(D_I="SI",Datos!J17,Datos!J17+Datos!AD17)," - ")</f>
        <v>74</v>
      </c>
      <c r="F17" s="452">
        <f>IF(ISNUMBER(E17/B17),E17/B17," - ")</f>
        <v>74</v>
      </c>
      <c r="G17" s="451">
        <f>IF(ISNUMBER(IF(D_I="SI",Datos!K17,Datos!K17+Datos!AE17)),IF(D_I="SI",Datos!K17,Datos!K17+Datos!AE17)," - ")</f>
        <v>77</v>
      </c>
      <c r="H17" s="452">
        <f>IF(ISNUMBER(G17/B17),G17/B17," - ")</f>
        <v>77</v>
      </c>
      <c r="I17" s="451">
        <f>IF(ISNUMBER(IF(D_I="SI",Datos!L17,Datos!L17+Datos!AF17)),IF(D_I="SI",Datos!L17,Datos!L17+Datos!AF17)," - ")</f>
        <v>93</v>
      </c>
      <c r="J17" s="452">
        <f>IF(ISNUMBER(I17/B17),I17/B17," - ")</f>
        <v>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5</v>
      </c>
      <c r="F18" s="452">
        <f>IF(ISNUMBER(E18/B18),E18/B18," - ")</f>
        <v>5</v>
      </c>
      <c r="G18" s="451">
        <f>IF(ISNUMBER(IF(D_I="SI",Datos!K18,Datos!K18+Datos!AE18)),IF(D_I="SI",Datos!K18,Datos!K18+Datos!AE18)," - ")</f>
        <v>6</v>
      </c>
      <c r="H18" s="452">
        <f>IF(ISNUMBER(G18/B18),G18/B18," - ")</f>
        <v>6</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100</v>
      </c>
      <c r="D23" s="1147" t="str">
        <f>IF(ISNUMBER(C23/Datos!BI23),C23/Datos!BI23," - ")</f>
        <v xml:space="preserve"> - </v>
      </c>
      <c r="E23" s="1146">
        <f>SUBTOTAL(9,E15:E22)</f>
        <v>79</v>
      </c>
      <c r="F23" s="1147">
        <f>IF(ISNUMBER(E23/B23),E23/B23," - ")</f>
        <v>79</v>
      </c>
      <c r="G23" s="1146">
        <f>SUBTOTAL(9,G15:G22)</f>
        <v>83</v>
      </c>
      <c r="H23" s="1147">
        <f>IF(ISNUMBER(G23/B23),G23/B23," - ")</f>
        <v>83</v>
      </c>
      <c r="I23" s="1146">
        <f>SUBTOTAL(9,I15:I22)</f>
        <v>97</v>
      </c>
      <c r="J23" s="1147">
        <f>IF(ISNUMBER(I23/B23),I23/B23," - ")</f>
        <v>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214</v>
      </c>
      <c r="D31" s="1085" t="str">
        <f>IF(ISNUMBER(C31/Datos!BI31),C31/Datos!BI31," - ")</f>
        <v xml:space="preserve"> - </v>
      </c>
      <c r="E31" s="1084">
        <f>SUBTOTAL(9,E9:E30)</f>
        <v>149</v>
      </c>
      <c r="F31" s="1085">
        <f>IF(ISNUMBER(E31/B31),E31/B31," - ")</f>
        <v>149</v>
      </c>
      <c r="G31" s="1084">
        <f>SUBTOTAL(9,G9:G30)</f>
        <v>172</v>
      </c>
      <c r="H31" s="1085">
        <f>IF(ISNUMBER(G31/B31),G31/B31," - ")</f>
        <v>172</v>
      </c>
      <c r="I31" s="1084">
        <f>SUBTOTAL(9,I9:I30)</f>
        <v>192</v>
      </c>
      <c r="J31" s="1085">
        <f>IF(ISNUMBER(I31/B31),I31/B31," - ")</f>
        <v>192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NPMT4tedEOzZr4zQivkZ+G85VzTj+xptOJg1i5BpUGgCQPt1vkC1TR1m03wU5XgBzP3Sa7ZBGVe/RIzeVoNyQ==" saltValue="Sma9Iy6O3J7c5iKSg66x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VITIGUDINO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3.2022471910112356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-5.5118110236220472E-2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31</v>
      </c>
      <c r="AE14" s="1257">
        <f t="shared" si="1"/>
        <v>0</v>
      </c>
      <c r="AF14" s="1257">
        <f t="shared" si="1"/>
        <v>0</v>
      </c>
      <c r="AG14" s="1257">
        <f t="shared" si="1"/>
        <v>0</v>
      </c>
      <c r="AH14" s="1257">
        <f t="shared" si="1"/>
        <v>240</v>
      </c>
      <c r="AI14" s="1257">
        <f t="shared" si="1"/>
        <v>0</v>
      </c>
      <c r="AJ14" s="1257">
        <f t="shared" si="1"/>
        <v>0</v>
      </c>
      <c r="AK14" s="1257">
        <f t="shared" si="1"/>
        <v>0</v>
      </c>
      <c r="AL14" s="1257">
        <f t="shared" si="1"/>
        <v>23</v>
      </c>
      <c r="AM14" s="1257">
        <f t="shared" si="1"/>
        <v>41</v>
      </c>
      <c r="AN14" s="1257">
        <f t="shared" si="1"/>
        <v>0</v>
      </c>
      <c r="AO14" s="1257">
        <f t="shared" si="1"/>
        <v>0</v>
      </c>
      <c r="AP14" s="1262">
        <f>IF(ISNUMBER(((Datos!L14/Datos!K14)*11)/factor_trimestre),((Datos!L14/Datos!K14)*11)/factor_trimestre," - ")</f>
        <v>3.5696202531645569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-5.5118110236220472E-2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3.5060240963855427</v>
      </c>
      <c r="AQ23" s="1262">
        <f>IF(ISNUMBER(((Datos!M23/Datos!L23)*11)/factor_trimestre),((Datos!M23/Datos!L23)*11)/factor_trimestre," - ")</f>
        <v>0.40206185567010305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-7.1428571428571425E-2</v>
      </c>
      <c r="AW23" s="1265">
        <f>IF(ISNUMBER((Datos!Q23-Datos!R23)/(Datos!S23-Datos!Q23+Datos!R23)),(Datos!Q23-Datos!R23)/(Datos!S23-Datos!Q23+Datos!R23)," - ")</f>
        <v>-8.1967213114754092E-2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31</v>
      </c>
      <c r="AE31" s="1284">
        <f t="shared" si="9"/>
        <v>0</v>
      </c>
      <c r="AF31" s="1285">
        <f t="shared" si="9"/>
        <v>0</v>
      </c>
      <c r="AG31" s="1285">
        <f t="shared" si="9"/>
        <v>0</v>
      </c>
      <c r="AH31" s="1285">
        <f t="shared" si="9"/>
        <v>240</v>
      </c>
      <c r="AI31" s="1285">
        <f t="shared" si="9"/>
        <v>0</v>
      </c>
      <c r="AJ31" s="1286">
        <f t="shared" si="9"/>
        <v>0</v>
      </c>
      <c r="AK31" s="1286">
        <f t="shared" si="9"/>
        <v>0</v>
      </c>
      <c r="AL31" s="1278">
        <f t="shared" si="9"/>
        <v>23</v>
      </c>
      <c r="AM31" s="1278">
        <f t="shared" si="9"/>
        <v>41</v>
      </c>
      <c r="AN31" s="1278">
        <f t="shared" si="9"/>
        <v>0</v>
      </c>
      <c r="AO31" s="1278">
        <f t="shared" si="9"/>
        <v>0</v>
      </c>
      <c r="AP31" s="1278">
        <f>IF(ISNUMBER(((Datos!L31/Datos!K31)*11)/factor_trimestre),((Datos!L31/Datos!K31)*11)/factor_trimestre," - ")</f>
        <v>3.5370370370370368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-5.5970149253731345E-2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0.19633638064631145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h2sv+N92THSfU8k8S9QZHirFcDL8vPCvgaNwGVEGUlL6DQS9FlAnqyec/wwR3Q0mT1VX4eEQ/NdFGV+vMf98Q==" saltValue="qtnGmdHiLqy8nBrDETTU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VITIGUDINO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4bp3AMQle65fYR5J9Xx7JRXvmJ8QZkYM9UDloYsbwL8nxiJUUptzWXHd2bBLr1WE1BiQHLEoDSEiAjLpuTrGA==" saltValue="huVXp91GQjtFX/7DZ/A5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VITIGUDINO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41</v>
      </c>
      <c r="G12" s="452">
        <f t="shared" si="1"/>
        <v>41</v>
      </c>
      <c r="H12" s="451">
        <f>IF(ISNUMBER(Datos!O12),Datos!O12," - ")</f>
        <v>39</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41</v>
      </c>
      <c r="G14" s="1147">
        <f t="shared" si="1"/>
        <v>20.5</v>
      </c>
      <c r="H14" s="1146">
        <f>SUBTOTAL(9,H9:H13)</f>
        <v>39</v>
      </c>
      <c r="I14" s="1147">
        <f>IF(ISNUMBER(H14/B14),H14/B14," - ")</f>
        <v>19.5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44</v>
      </c>
      <c r="G17" s="452">
        <f t="shared" si="4"/>
        <v>44</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47</v>
      </c>
      <c r="G23" s="1147">
        <f t="shared" si="4"/>
        <v>23.5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88</v>
      </c>
      <c r="G31" s="1085">
        <f>IF(ISNUMBER(F31/B31),F31/B31," - ")</f>
        <v>88</v>
      </c>
      <c r="H31" s="1084">
        <f>SUBTOTAL(9,H8:H30)</f>
        <v>40</v>
      </c>
      <c r="I31" s="1085">
        <f>IF(ISNUMBER(H31/B31),H31/B31," - ")</f>
        <v>40</v>
      </c>
    </row>
    <row r="34" spans="1:1">
      <c r="A34" s="439" t="str">
        <f>Criterios!A4</f>
        <v>Fecha Informe: 05 may. 2023</v>
      </c>
    </row>
    <row r="39" spans="1:1">
      <c r="A39" s="462"/>
    </row>
  </sheetData>
  <sheetProtection algorithmName="SHA-512" hashValue="XH2WCJHOMSviJHbmmuBfN6Rh4EyaF4LHJTY1TiglzE2Nbc322xpjozBA+STHFaR80wsjp3iMcnMTjoGRBthRUw==" saltValue="WSYccna7EwMzw1346vet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VITIGUDINO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31</v>
      </c>
      <c r="D12" s="456">
        <f>IF(ISNUMBER(Datos!R12),Datos!R12," - ")</f>
        <v>240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31</v>
      </c>
      <c r="D14" s="1148">
        <f>SUBTOTAL(9,D9:D13)</f>
        <v>240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3</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3</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34</v>
      </c>
      <c r="D31" s="1090">
        <f>SUBTOTAL(9,D8:D30)</f>
        <v>253</v>
      </c>
    </row>
    <row r="32" spans="1:4" ht="7.5" customHeight="1"/>
    <row r="33" spans="1:1" ht="6" customHeight="1"/>
    <row r="34" spans="1:1">
      <c r="A34" s="439" t="str">
        <f>Criterios!A4</f>
        <v>Fecha Informe: 05 may. 2023</v>
      </c>
    </row>
    <row r="39" spans="1:1">
      <c r="A39" s="462"/>
    </row>
  </sheetData>
  <sheetProtection algorithmName="SHA-512" hashValue="DuQw/LZbckugiLJIqhYOskyYrLDbE8QDuh6Nc8JVRDmam13AzwyG3NGvCY+tuXwScZuuEMmHemoyCSGT0Daepg==" saltValue="7MHg9KsWJqdnqsy6vfoa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VITIGUDINO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-5.7851239669421489E-2</v>
      </c>
      <c r="C12" s="515">
        <f>IF(ISNUMBER(
   IF(J_V="SI",(Datos!J12-Datos!T12)/Datos!T12,(Datos!J12+Datos!Z12-(Datos!T12+Datos!AH12))/(Datos!T12+Datos!AH12))
     ),IF(J_V="SI",(Datos!J12-Datos!T12)/Datos!T12,(Datos!J12+Datos!Z12-(Datos!T12+Datos!AH12))/(Datos!T12+Datos!AH12))," - ")</f>
        <v>-0.13580246913580246</v>
      </c>
      <c r="D12" s="515">
        <f>IF(ISNUMBER(
   IF(J_V="SI",(Datos!K12-Datos!U12)/Datos!U12,(Datos!K12+Datos!AA12-(Datos!U12+Datos!AI12))/(Datos!U12+Datos!AI12))
     ),IF(J_V="SI",(Datos!K12-Datos!U12)/Datos!U12,(Datos!K12+Datos!AA12-(Datos!U12+Datos!AI12))/(Datos!U12+Datos!AI12))," - ")</f>
        <v>2.2988505747126436E-2</v>
      </c>
      <c r="E12" s="515">
        <f>IF(ISNUMBER(
   IF(J_V="SI",(Datos!L12-Datos!V12)/Datos!V12,(Datos!L12+Datos!AB12-(Datos!V12+Datos!AJ12))/(Datos!V12+Datos!AJ12))
     ),IF(J_V="SI",(Datos!L12-Datos!V12)/Datos!V12,(Datos!L12+Datos!AB12-(Datos!V12+Datos!AJ12))/(Datos!V12+Datos!AJ12))," - ")</f>
        <v>-0.17391304347826086</v>
      </c>
      <c r="F12" s="515">
        <f>IF(ISNUMBER((Datos!M12-Datos!W12)/Datos!W12),(Datos!M12-Datos!W12)/Datos!W12," - ")</f>
        <v>9.5238095238095233E-2</v>
      </c>
      <c r="G12" s="516">
        <f>IF(ISNUMBER((Datos!N12-Datos!X12)/Datos!X12),(Datos!N12-Datos!X12)/Datos!X12," - ")</f>
        <v>0.17142857142857143</v>
      </c>
      <c r="H12" s="514">
        <f>IF(ISNUMBER(((NºAsuntos!G12/NºAsuntos!E12)-Datos!BD12)/Datos!BD12),((NºAsuntos!G12/NºAsuntos!E12)-Datos!BD12)/Datos!BD12," - ")</f>
        <v>0.18374384236453184</v>
      </c>
      <c r="I12" s="515">
        <f>IF(ISNUMBER(((NºAsuntos!I12/NºAsuntos!G12)-Datos!BE12)/Datos!BE12),((NºAsuntos!I12/NºAsuntos!G12)-Datos!BE12)/Datos!BE12," - ")</f>
        <v>-0.19247679531021014</v>
      </c>
      <c r="J12" s="521">
        <f>IF(ISNUMBER((('Resol  Asuntos'!D12/NºAsuntos!G12)-Datos!BF12)/Datos!BF12),(('Resol  Asuntos'!D12/NºAsuntos!G12)-Datos!BF12)/Datos!BF12," - ")</f>
        <v>-0.35762439807383622</v>
      </c>
      <c r="K12" s="522">
        <f>IF(ISNUMBER((((NºAsuntos!C12+NºAsuntos!E12)/NºAsuntos!G12)-Datos!BG12)/Datos!BG12),(((NºAsuntos!C12+NºAsuntos!E12)/NºAsuntos!G12)-Datos!BG12)/Datos!BG12," - ")</f>
        <v>-0.1095783735676938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-5.7851239669421489E-2</v>
      </c>
      <c r="C14" s="1152">
        <f>IF(ISNUMBER(
   IF(J_V="SI",(Datos!J14-Datos!T14)/Datos!T14,(Datos!J14+Datos!Z14-(Datos!T14+Datos!AH14))/(Datos!T14+Datos!AH14))
     ),IF(J_V="SI",(Datos!J14-Datos!T14)/Datos!T14,(Datos!J14+Datos!Z14-(Datos!T14+Datos!AH14))/(Datos!T14+Datos!AH14))," - ")</f>
        <v>-0.13580246913580246</v>
      </c>
      <c r="D14" s="1152">
        <f>IF(ISNUMBER(
   IF(J_V="SI",(Datos!K14-Datos!U14)/Datos!U14,(Datos!K14+Datos!AA14-(Datos!U14+Datos!AI14))/(Datos!U14+Datos!AI14))
     ),IF(J_V="SI",(Datos!K14-Datos!U14)/Datos!U14,(Datos!K14+Datos!AA14-(Datos!U14+Datos!AI14))/(Datos!U14+Datos!AI14))," - ")</f>
        <v>2.2988505747126436E-2</v>
      </c>
      <c r="E14" s="1152">
        <f>IF(ISNUMBER(
   IF(J_V="SI",(Datos!L14-Datos!V14)/Datos!V14,(Datos!L14+Datos!AB14-(Datos!V14+Datos!AJ14))/(Datos!V14+Datos!AJ14))
     ),IF(J_V="SI",(Datos!L14-Datos!V14)/Datos!V14,(Datos!L14+Datos!AB14-(Datos!V14+Datos!AJ14))/(Datos!V14+Datos!AJ14))," - ")</f>
        <v>-0.17391304347826086</v>
      </c>
      <c r="F14" s="1153">
        <f>IF(ISNUMBER((Datos!M14-Datos!W14)/Datos!W14),(Datos!M14-Datos!W14)/Datos!W14," - ")</f>
        <v>9.5238095238095233E-2</v>
      </c>
      <c r="G14" s="1154">
        <f>IF(ISNUMBER((Datos!N14-Datos!X14)/Datos!X14),(Datos!N14-Datos!X14)/Datos!X14," - ")</f>
        <v>0.17142857142857143</v>
      </c>
      <c r="H14" s="1154">
        <f>IF(ISNUMBER(((NºAsuntos!G14/NºAsuntos!E14)-Datos!BD14)/Datos!BD14),((NºAsuntos!G14/NºAsuntos!E14)-Datos!BD14)/Datos!BD14," - ")</f>
        <v>0.18374384236453184</v>
      </c>
      <c r="I14" s="1154">
        <f>IF(ISNUMBER(((NºAsuntos!I14/NºAsuntos!G14)-Datos!BE14)/Datos!BE14),((NºAsuntos!I14/NºAsuntos!G14)-Datos!BE14)/Datos!BE14," - ")</f>
        <v>-0.19247679531021014</v>
      </c>
      <c r="J14" s="1154">
        <f>IF(ISNUMBER((('Resol  Asuntos'!D14/NºAsuntos!G14)-Datos!BF14)/Datos!BF14),(('Resol  Asuntos'!D14/NºAsuntos!G14)-Datos!BF14)/Datos!BF14," - ")</f>
        <v>-0.35762439807383622</v>
      </c>
      <c r="K14" s="1154">
        <f>IF(ISNUMBER((((NºAsuntos!C14+NºAsuntos!E14)/NºAsuntos!G14)-Datos!BG14)/Datos!BG14),(((NºAsuntos!C14+NºAsuntos!E14)/NºAsuntos!G14)-Datos!BG14)/Datos!BG14," - ")</f>
        <v>-0.1095783735676938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-0.14414414414414414</v>
      </c>
      <c r="C17" s="515">
        <f>IF(ISNUMBER(
   IF(D_I="SI",(Datos!J17-Datos!T17)/Datos!T17,(Datos!J17+Datos!AD17-(Datos!T17+Datos!AL17))/(Datos!T17+Datos!AL17))
     ),IF(D_I="SI",(Datos!J17-Datos!T17)/Datos!T17,(Datos!J17+Datos!AD17-(Datos!T17+Datos!AL17))/(Datos!T17+Datos!AL17))," - ")</f>
        <v>0.54166666666666663</v>
      </c>
      <c r="D17" s="515">
        <f>IF(ISNUMBER(
   IF(D_I="SI",(Datos!K17-Datos!U17)/Datos!U17,(Datos!K17+Datos!AE17-(Datos!U17+Datos!AM17))/(Datos!U17+Datos!AM17))
     ),IF(D_I="SI",(Datos!K17-Datos!U17)/Datos!U17,(Datos!K17+Datos!AE17-(Datos!U17+Datos!AM17))/(Datos!U17+Datos!AM17))," - ")</f>
        <v>0.4</v>
      </c>
      <c r="E17" s="515">
        <f>IF(ISNUMBER(
   IF(D_I="SI",(Datos!L17-Datos!V17)/Datos!V17,(Datos!L17+Datos!AF17-(Datos!V17+Datos!AN17))/(Datos!V17+Datos!AN17))
     ),IF(D_I="SI",(Datos!L17-Datos!V17)/Datos!V17,(Datos!L17+Datos!AF17-(Datos!V17+Datos!AN17))/(Datos!V17+Datos!AN17))," - ")</f>
        <v>-0.10576923076923077</v>
      </c>
      <c r="F17" s="515">
        <f>IF(ISNUMBER((Datos!M17-Datos!W17)/Datos!W17),(Datos!M17-Datos!W17)/Datos!W17," - ")</f>
        <v>0.625</v>
      </c>
      <c r="G17" s="516">
        <f>IF(ISNUMBER((Datos!N17-Datos!X17)/Datos!X17),(Datos!N17-Datos!X17)/Datos!X17," - ")</f>
        <v>0.375</v>
      </c>
      <c r="H17" s="514">
        <f>IF(ISNUMBER(((NºAsuntos!G17/NºAsuntos!E17)-Datos!BD17)/Datos!BD17),((NºAsuntos!G17/NºAsuntos!E17)-Datos!BD17)/Datos!BD17," - ")</f>
        <v>-9.1891891891891814E-2</v>
      </c>
      <c r="I17" s="515">
        <f>IF(ISNUMBER(((NºAsuntos!I17/NºAsuntos!G17)-Datos!BE17)/Datos!BE17),((NºAsuntos!I17/NºAsuntos!G17)-Datos!BE17)/Datos!BE17," - ")</f>
        <v>-0.3612637362637362</v>
      </c>
      <c r="J17" s="521">
        <f>IF(ISNUMBER((('Resol  Asuntos'!D17/NºAsuntos!G17)-Datos!BF17)/Datos!BF17),(('Resol  Asuntos'!D17/NºAsuntos!G17)-Datos!BF17)/Datos!BF17," - ")</f>
        <v>0.16071428571428578</v>
      </c>
      <c r="K17" s="522">
        <f>IF(ISNUMBER((((NºAsuntos!C17+NºAsuntos!E17)/NºAsuntos!G17)-Datos!BG17)/Datos!BG17),(((NºAsuntos!C17+NºAsuntos!E17)/NºAsuntos!G17)-Datos!BG17)/Datos!BG17," - ")</f>
        <v>-0.24079065588499557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v>
      </c>
      <c r="C18" s="515" t="str">
        <f>IF(ISNUMBER(
   IF(D_I="SI",(Datos!J18-Datos!T18)/Datos!T18,(Datos!J18+Datos!AD18-(Datos!T18+Datos!AL18))/(Datos!T18+Datos!AL18))
     ),IF(D_I="SI",(Datos!J18-Datos!T18)/Datos!T18,(Datos!J18+Datos!AD18-(Datos!T18+Datos!AL18))/(Datos!T18+Datos!AL18))," - ")</f>
        <v xml:space="preserve"> - </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3</v>
      </c>
      <c r="F18" s="515" t="str">
        <f>IF(ISNUMBER((Datos!M18-Datos!W18)/Datos!W18),(Datos!M18-Datos!W18)/Datos!W18," - ")</f>
        <v xml:space="preserve"> - </v>
      </c>
      <c r="G18" s="516" t="str">
        <f>IF(ISNUMBER((Datos!N18-Datos!X18)/Datos!X18),(Datos!N18-Datos!X18)/Datos!X18," - ")</f>
        <v xml:space="preserve"> - </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-0.10714285714285714</v>
      </c>
      <c r="C23" s="1152">
        <f>IF(ISNUMBER(
   IF(Criterios!B14="SI",(Datos!J23-Datos!T23)/Datos!T23,(Datos!J23+Datos!AD23-(Datos!T23+Datos!AL23))/(Datos!T23+Datos!AL23))
     ),IF(Criterios!B14="SI",(Datos!J23-Datos!T23)/Datos!T23,(Datos!J23+Datos!AD23-(Datos!T23+Datos!AL23))/(Datos!T23+Datos!AL23))," - ")</f>
        <v>0.64583333333333337</v>
      </c>
      <c r="D23" s="1152">
        <f>IF(ISNUMBER(
   IF(Criterios!B14="SI",(Datos!K23-Datos!U23)/Datos!U23,(Datos!K23+Datos!AE23-(Datos!U23+Datos!AM23))/(Datos!U23+Datos!AM23))
     ),IF(Criterios!B14="SI",(Datos!K23-Datos!U23)/Datos!U23,(Datos!K23+Datos!AE23-(Datos!U23+Datos!AM23))/(Datos!U23+Datos!AM23))," - ")</f>
        <v>0.50909090909090904</v>
      </c>
      <c r="E23" s="1152">
        <f>IF(ISNUMBER(
   IF(Criterios!B14="SI",(Datos!L23-Datos!V23)/Datos!V23,(Datos!L23+Datos!AF23-(Datos!V23+Datos!AN23))/(Datos!V23+Datos!AN23))
     ),IF(Criterios!B14="SI",(Datos!L23-Datos!V23)/Datos!V23,(Datos!L23+Datos!AF23-(Datos!V23+Datos!AN23))/(Datos!V23+Datos!AN23))," - ")</f>
        <v>-7.6190476190476197E-2</v>
      </c>
      <c r="F23" s="1153">
        <f>IF(ISNUMBER((Datos!M23-Datos!W23)/Datos!W23),(Datos!M23-Datos!W23)/Datos!W23," - ")</f>
        <v>0.625</v>
      </c>
      <c r="G23" s="1154">
        <f>IF(ISNUMBER((Datos!N23-Datos!X23)/Datos!X23),(Datos!N23-Datos!X23)/Datos!X23," - ")</f>
        <v>0.46875</v>
      </c>
      <c r="H23" s="1154">
        <f>IF(ISNUMBER(((NºAsuntos!G23/NºAsuntos!E23)-Datos!BD23)/Datos!BD23),((NºAsuntos!G23/NºAsuntos!E23)-Datos!BD23)/Datos!BD23," - ")</f>
        <v>-8.308400460299184E-2</v>
      </c>
      <c r="I23" s="1154">
        <f>IF(ISNUMBER(((NºAsuntos!I23/NºAsuntos!G23)-Datos!BE23)/Datos!BE23),((NºAsuntos!I23/NºAsuntos!G23)-Datos!BE23)/Datos!BE23," - ")</f>
        <v>-0.3878370625358577</v>
      </c>
      <c r="J23" s="1154">
        <f>IF(ISNUMBER((('Resol  Asuntos'!D23/NºAsuntos!G23)-Datos!BF23)/Datos!BF23),(('Resol  Asuntos'!D23/NºAsuntos!G23)-Datos!BF23)/Datos!BF23," - ")</f>
        <v>7.6807228915662731E-2</v>
      </c>
      <c r="K23" s="1154">
        <f>IF(ISNUMBER((((NºAsuntos!C23+NºAsuntos!E23)/NºAsuntos!G23)-Datos!BG23)/Datos!BG23),(((NºAsuntos!C23+NºAsuntos!E23)/NºAsuntos!G23)-Datos!BG23)/Datos!BG23," - ")</f>
        <v>-0.25865963855421681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-8.15450643776824E-2</v>
      </c>
      <c r="C31" s="1092">
        <f>IF(ISNUMBER(
   IF(J_V="SI",(Datos!J31-Datos!T31)/Datos!T31,(Datos!J31+Datos!Z31-(Datos!T31+Datos!AH31))/(Datos!T31+Datos!AH31))
     ),IF(J_V="SI",(Datos!J31-Datos!T31)/Datos!T31,(Datos!J31+Datos!Z31-(Datos!T31+Datos!AH31))/(Datos!T31+Datos!AH31))," - ")</f>
        <v>0.15503875968992248</v>
      </c>
      <c r="D31" s="1092">
        <f>IF(ISNUMBER(
   IF(J_V="SI",(Datos!K31-Datos!U31)/Datos!U31,(Datos!K31+Datos!AA31-(Datos!U31+Datos!AI31))/(Datos!U31+Datos!AI31))
     ),IF(J_V="SI",(Datos!K31-Datos!U31)/Datos!U31,(Datos!K31+Datos!AA31-(Datos!U31+Datos!AI31))/(Datos!U31+Datos!AI31))," - ")</f>
        <v>0.21126760563380281</v>
      </c>
      <c r="E31" s="1092">
        <f>IF(ISNUMBER(
   IF(J_V="SI",(Datos!L31-Datos!V31)/Datos!V31,(Datos!L31+Datos!AB31-(Datos!V31+Datos!AJ31))/(Datos!V31+Datos!AJ31))
     ),IF(J_V="SI",(Datos!L31-Datos!V31)/Datos!V31,(Datos!L31+Datos!AB31-(Datos!V31+Datos!AJ31))/(Datos!V31+Datos!AJ31))," - ")</f>
        <v>-0.12727272727272726</v>
      </c>
      <c r="F31" s="1093">
        <f>IF(ISNUMBER((Datos!M31-Datos!W31)/Datos!W31),(Datos!M31-Datos!W31)/Datos!W31," - ")</f>
        <v>0.2413793103448276</v>
      </c>
      <c r="G31" s="1094">
        <f>IF(ISNUMBER((Datos!N31-Datos!X31)/Datos!X31),(Datos!N31-Datos!X31)/Datos!X31," - ")</f>
        <v>0.31343283582089554</v>
      </c>
      <c r="H31" s="1095">
        <f>IF(ISNUMBER((Tasas!B31-Datos!BD31)/Datos!BD31),(Tasas!B31-Datos!BD31)/Datos!BD31," - ")</f>
        <v>4.8681349844030768E-2</v>
      </c>
      <c r="I31" s="1096">
        <f>IF(ISNUMBER((Tasas!C31-Datos!BE31)/Datos!BE31),(Tasas!C31-Datos!BE31)/Datos!BE31," - ")</f>
        <v>-0.27949260042283297</v>
      </c>
      <c r="J31" s="1097">
        <f>IF(ISNUMBER((Tasas!D31-Datos!BF31)/Datos!BF31),(Tasas!D31-Datos!BF31)/Datos!BF31," - ")</f>
        <v>-0.30881557598701992</v>
      </c>
      <c r="K31" s="1097">
        <f>IF(ISNUMBER((Tasas!E31-Datos!BG31)/Datos!BG31),(Tasas!E31-Datos!BG31)/Datos!BG31," - ")</f>
        <v>-0.17213799306180133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MktIoG84A9z2wa2mdgriewLqh6lZv8XgQKf0eBq7BdBrZXxb9VPG+Lzl1RC+4v1ARIf/ngplG1y8vbGP/qHdQ==" saltValue="32Ml8+fRjAADB6qWufDW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VITIGUDINO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1.2714285714285714</v>
      </c>
      <c r="C12" s="498">
        <f>IF(ISNUMBER(NºAsuntos!I12/NºAsuntos!G12),NºAsuntos!I12/NºAsuntos!G12," - ")</f>
        <v>1.0674157303370786</v>
      </c>
      <c r="D12" s="499">
        <f>IF(ISNUMBER('Resol  Asuntos'!D12/NºAsuntos!G12),'Resol  Asuntos'!D12/NºAsuntos!G12," - ")</f>
        <v>0.25842696629213485</v>
      </c>
      <c r="E12" s="500">
        <f>IF(ISNUMBER((NºAsuntos!C12+NºAsuntos!E12)/NºAsuntos!G12),(NºAsuntos!C12+NºAsuntos!E12)/NºAsuntos!G12," - ")</f>
        <v>2.0674157303370788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1.2714285714285714</v>
      </c>
      <c r="C14" s="1156">
        <f>IF(ISNUMBER(NºAsuntos!I14/NºAsuntos!G14),NºAsuntos!I14/NºAsuntos!G14," - ")</f>
        <v>1.0674157303370786</v>
      </c>
      <c r="D14" s="1157">
        <f>IF(ISNUMBER('Resol  Asuntos'!D14/NºAsuntos!G14),'Resol  Asuntos'!D14/NºAsuntos!G14," - ")</f>
        <v>0.25842696629213485</v>
      </c>
      <c r="E14" s="1158">
        <f>IF(ISNUMBER((NºAsuntos!C14+NºAsuntos!E14)/NºAsuntos!G14),(NºAsuntos!C14+NºAsuntos!E14)/NºAsuntos!G14," - ")</f>
        <v>2.0674157303370788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1.0405405405405406</v>
      </c>
      <c r="C17" s="498">
        <f>IF(ISNUMBER(NºAsuntos!I17/NºAsuntos!G17),NºAsuntos!I17/NºAsuntos!G17," - ")</f>
        <v>1.2077922077922079</v>
      </c>
      <c r="D17" s="499">
        <f>IF(ISNUMBER('Resol  Asuntos'!D17/NºAsuntos!G17),'Resol  Asuntos'!D17/NºAsuntos!G17," - ")</f>
        <v>0.16883116883116883</v>
      </c>
      <c r="E17" s="500">
        <f>IF(ISNUMBER((NºAsuntos!C17+NºAsuntos!E17)/NºAsuntos!G17),(NºAsuntos!C17+NºAsuntos!E17)/NºAsuntos!G17," - ")</f>
        <v>2.1948051948051948</v>
      </c>
      <c r="G17" s="523"/>
    </row>
    <row r="18" spans="1:7">
      <c r="A18" s="450" t="str">
        <f>Datos!A18</f>
        <v>Jdos. Violencia contra la mujer</v>
      </c>
      <c r="B18" s="497">
        <f>IF(ISNUMBER(NºAsuntos!G18/NºAsuntos!E18),NºAsuntos!G18/NºAsuntos!E18," - ")</f>
        <v>1.2</v>
      </c>
      <c r="C18" s="498">
        <f>IF(ISNUMBER(NºAsuntos!I18/NºAsuntos!G18),NºAsuntos!I18/NºAsuntos!G18," - ")</f>
        <v>0.66666666666666663</v>
      </c>
      <c r="D18" s="499">
        <f>IF(ISNUMBER('Resol  Asuntos'!D18/NºAsuntos!G18),'Resol  Asuntos'!D18/NºAsuntos!G18," - ")</f>
        <v>0</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1.0506329113924051</v>
      </c>
      <c r="C23" s="1156">
        <f>IF(ISNUMBER(NºAsuntos!I23/NºAsuntos!G23),NºAsuntos!I23/NºAsuntos!G23," - ")</f>
        <v>1.1686746987951808</v>
      </c>
      <c r="D23" s="1159">
        <f>IF(ISNUMBER('Resol  Asuntos'!D23/NºAsuntos!G23),'Resol  Asuntos'!D23/NºAsuntos!G23," - ")</f>
        <v>0.15662650602409639</v>
      </c>
      <c r="E23" s="1158">
        <f>IF(ISNUMBER((NºAsuntos!C23+NºAsuntos!E23)/NºAsuntos!G23),(NºAsuntos!C23+NºAsuntos!E23)/NºAsuntos!G23," - ")</f>
        <v>2.1566265060240966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1.1543624161073827</v>
      </c>
      <c r="C31" s="1099">
        <f>IF(ISNUMBER(NºAsuntos!I31/NºAsuntos!G31),NºAsuntos!I31/NºAsuntos!G31," - ")</f>
        <v>1.1162790697674418</v>
      </c>
      <c r="D31" s="1100">
        <f>IF(ISNUMBER('Resol  Asuntos'!D31/NºAsuntos!G31),'Resol  Asuntos'!D31/NºAsuntos!G31," - ")</f>
        <v>0.20930232558139536</v>
      </c>
      <c r="E31" s="1101">
        <f>IF(ISNUMBER((NºAsuntos!C31+NºAsuntos!E31)/NºAsuntos!G31),(NºAsuntos!C31+NºAsuntos!E31)/NºAsuntos!G31," - ")</f>
        <v>2.11046511627907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QBXCRq3Z6/D1jI2WRcGGWYgqxGcU+YGjGFzEpMRjIfQKQOjoPKoCq39HdqvKoXDoW7Ap+q76ljgtkg12tZ8tA==" saltValue="setOOzwJqARhEUt+AuyUR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VITIGUDINO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1.2714285714285714</v>
      </c>
      <c r="AM12" s="284">
        <f>IF(ISNUMBER(((NºAsuntos!I12/NºAsuntos!G12)*11)/factor_trimestre),((NºAsuntos!I12/NºAsuntos!G12)*11)/factor_trimestre," - ")</f>
        <v>3.2022471910112356</v>
      </c>
      <c r="AN12" s="267">
        <f>IF(ISNUMBER('Resol  Asuntos'!D12/NºAsuntos!G12),'Resol  Asuntos'!D12/NºAsuntos!G12," - ")</f>
        <v>0.25842696629213485</v>
      </c>
      <c r="AO12" s="268">
        <f>IF(ISNUMBER((NºAsuntos!C12+NºAsuntos!E12)/NºAsuntos!G12),(NºAsuntos!C12+NºAsuntos!E12)/NºAsuntos!G12," - ")</f>
        <v>2.0674157303370788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31</v>
      </c>
      <c r="Y14" s="1165">
        <f t="shared" si="6"/>
        <v>31</v>
      </c>
      <c r="Z14" s="1165">
        <f t="shared" si="6"/>
        <v>0</v>
      </c>
      <c r="AA14" s="1165">
        <f t="shared" si="6"/>
        <v>0</v>
      </c>
      <c r="AB14" s="1165">
        <f t="shared" si="6"/>
        <v>240</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1.2714285714285714</v>
      </c>
      <c r="AM14" s="1171">
        <f>IF(ISNUMBER(((NºAsuntos!I14/NºAsuntos!G14)*11)/factor_trimestre),((NºAsuntos!I14/NºAsuntos!G14)*11)/factor_trimestre," - ")</f>
        <v>3.2022471910112356</v>
      </c>
      <c r="AN14" s="1172">
        <f>IF(ISNUMBER('Resol  Asuntos'!D14/NºAsuntos!G14),'Resol  Asuntos'!D14/NºAsuntos!G14," - ")</f>
        <v>0.25842696629213485</v>
      </c>
      <c r="AO14" s="1173">
        <f>IF(ISNUMBER((NºAsuntos!C14+NºAsuntos!E14)/NºAsuntos!G14),(NºAsuntos!C14+NºAsuntos!E14)/NºAsuntos!G14," - ")</f>
        <v>2.0674157303370788</v>
      </c>
      <c r="AP14" s="1174" t="str">
        <f t="shared" si="2"/>
        <v xml:space="preserve"> - </v>
      </c>
      <c r="AQ14" s="1174" t="str">
        <f>IF(ISNUMBER((H14-W14+K14)/(F14)),(H14-W14+K14)/(F14)," - ")</f>
        <v xml:space="preserve"> - </v>
      </c>
      <c r="AR14" s="1175">
        <f>IF(ISNUMBER((Datos!P14-Datos!Q14)/(Datos!R14-Datos!P14+Datos!Q14)),(Datos!P14-Datos!Q14)/(Datos!R14-Datos!P14+Datos!Q14)," - ")</f>
        <v>-5.5118110236220472E-2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96</v>
      </c>
      <c r="G17" s="373">
        <f>IF(ISNUMBER(IF(D_I="SI",Datos!I17,Datos!I17+Datos!AC17)),IF(D_I="SI",Datos!I17,Datos!I17+Datos!AC17)," - ")</f>
        <v>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77</v>
      </c>
      <c r="X17" s="240">
        <f>IF(ISNUMBER(Datos!Q17),Datos!Q17," - ")</f>
        <v>3</v>
      </c>
      <c r="Y17" s="374">
        <f t="shared" ref="Y17:Y22" si="9">SUM(W17:X17)</f>
        <v>80</v>
      </c>
      <c r="Z17" s="375" t="str">
        <f>IF(ISNUMBER(Datos!CC17),Datos!CC17," - ")</f>
        <v xml:space="preserve"> - </v>
      </c>
      <c r="AA17" s="372">
        <f>IF(ISNUMBER(IF(D_I="SI",Datos!L17,Datos!L17+Datos!AF17)),IF(D_I="SI",Datos!L17,Datos!L17+Datos!AF17)," - ")</f>
        <v>93</v>
      </c>
      <c r="AB17" s="374">
        <f>IF(ISNUMBER(Datos!R17),Datos!R17," - ")</f>
        <v>13</v>
      </c>
      <c r="AC17" s="374">
        <f t="shared" si="8"/>
        <v>106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1.0405405405405406</v>
      </c>
      <c r="AM17" s="284">
        <f>IF(ISNUMBER(((NºAsuntos!I17/NºAsuntos!G17)*11)/factor_trimestre),((NºAsuntos!I17/NºAsuntos!G17)*11)/factor_trimestre," - ")</f>
        <v>3.6233766233766236</v>
      </c>
      <c r="AN17" s="267">
        <f>IF(ISNUMBER('Resol  Asuntos'!D17/NºAsuntos!G17),'Resol  Asuntos'!D17/NºAsuntos!G17," - ")</f>
        <v>0.16883116883116883</v>
      </c>
      <c r="AO17" s="268">
        <f>IF(ISNUMBER((NºAsuntos!C17+NºAsuntos!E17)/NºAsuntos!G17),(NºAsuntos!C17+NºAsuntos!E17)/NºAsuntos!G17," - ")</f>
        <v>2.1948051948051948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1.2</v>
      </c>
      <c r="AM18" s="284">
        <f>IF(ISNUMBER(((NºAsuntos!I18/NºAsuntos!G18)*11)/factor_trimestre),((NºAsuntos!I18/NºAsuntos!G18)*11)/factor_trimestre," - ")</f>
        <v>2</v>
      </c>
      <c r="AN18" s="267">
        <f>IF(ISNUMBER('Resol  Asuntos'!D18/NºAsuntos!G18),'Resol  Asuntos'!D18/NºAsuntos!G18," - ")</f>
        <v>0</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96</v>
      </c>
      <c r="G23" s="1163">
        <f>SUBTOTAL(9,G16:G22)</f>
        <v>100</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83</v>
      </c>
      <c r="X23" s="1164">
        <f t="shared" si="14"/>
        <v>3</v>
      </c>
      <c r="Y23" s="1165">
        <f t="shared" si="14"/>
        <v>86</v>
      </c>
      <c r="Z23" s="1165">
        <f t="shared" si="14"/>
        <v>0</v>
      </c>
      <c r="AA23" s="1165">
        <f t="shared" si="14"/>
        <v>97</v>
      </c>
      <c r="AB23" s="1165">
        <f t="shared" si="14"/>
        <v>13</v>
      </c>
      <c r="AC23" s="1165">
        <f t="shared" si="14"/>
        <v>110</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1.0506329113924051</v>
      </c>
      <c r="AM23" s="1171">
        <f>IF(ISNUMBER(((NºAsuntos!I23/NºAsuntos!G23)*11)/factor_trimestre),((NºAsuntos!I23/NºAsuntos!G23)*11)/factor_trimestre," - ")</f>
        <v>3.5060240963855427</v>
      </c>
      <c r="AN23" s="1172">
        <f>IF(ISNUMBER('Resol  Asuntos'!D23/NºAsuntos!G23),'Resol  Asuntos'!D23/NºAsuntos!G23," - ")</f>
        <v>0.15662650602409639</v>
      </c>
      <c r="AO23" s="1173">
        <f>IF(ISNUMBER((NºAsuntos!C23+NºAsuntos!E23)/NºAsuntos!G23),(NºAsuntos!C23+NºAsuntos!E23)/NºAsuntos!G23," - ")</f>
        <v>2.1566265060240966</v>
      </c>
      <c r="AP23" s="1174" t="str">
        <f t="shared" si="2"/>
        <v xml:space="preserve"> - </v>
      </c>
      <c r="AQ23" s="1174">
        <f>IF(ISNUMBER((H23-W23+K23)/(F23)),(H23-W23+K23)/(F23)," - ")</f>
        <v>-0.86458333333333337</v>
      </c>
      <c r="AR23" s="1175">
        <f>IF(ISNUMBER((Datos!P23-Datos!Q23)/(Datos!R23-Datos!P23+Datos!Q23)),(Datos!P23-Datos!Q23)/(Datos!R23-Datos!P23+Datos!Q23)," - ")</f>
        <v>-7.1428571428571425E-2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96</v>
      </c>
      <c r="G31" s="1118">
        <f t="shared" si="20"/>
        <v>100</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83</v>
      </c>
      <c r="X31" s="1118">
        <f t="shared" si="21"/>
        <v>34</v>
      </c>
      <c r="Y31" s="1125">
        <f t="shared" si="21"/>
        <v>117</v>
      </c>
      <c r="Z31" s="1125">
        <f t="shared" si="21"/>
        <v>0</v>
      </c>
      <c r="AA31" s="1125">
        <f t="shared" si="21"/>
        <v>97</v>
      </c>
      <c r="AB31" s="1125">
        <f t="shared" si="21"/>
        <v>253</v>
      </c>
      <c r="AC31" s="1125">
        <f t="shared" si="21"/>
        <v>110</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1.1543624161073827</v>
      </c>
      <c r="AM31" s="1184">
        <f>IF(ISNUMBER(((NºAsuntos!I31/NºAsuntos!G31)*11)/factor_trimestre),((NºAsuntos!I31/NºAsuntos!G31)*11)/factor_trimestre," - ")</f>
        <v>3.3488372093023258</v>
      </c>
      <c r="AN31" s="1184">
        <f>IF(ISNUMBER('Resol  Asuntos'!D31/NºAsuntos!G31),'Resol  Asuntos'!D31/NºAsuntos!G31," - ")</f>
        <v>0.20930232558139536</v>
      </c>
      <c r="AO31" s="1185">
        <f>IF(ISNUMBER((NºAsuntos!C31+NºAsuntos!E31)/NºAsuntos!G31),(NºAsuntos!C31+NºAsuntos!E31)/NºAsuntos!G31," - ")</f>
        <v>2.11046511627907</v>
      </c>
      <c r="AP31" s="1186" t="str">
        <f t="shared" si="2"/>
        <v xml:space="preserve"> - </v>
      </c>
      <c r="AQ31" s="1187">
        <f>IF(OR(ISNUMBER(FIND("01",Criterios!A8,1)),ISNUMBER(FIND("02",Criterios!A8,1)),ISNUMBER(FIND("03",Criterios!A8,1)),ISNUMBER(FIND("04",Criterios!A8,1))),(I31-W31+K31)/(F31-K31),(H31-W31+K31)/(F31-K31))</f>
        <v>-0.86458333333333337</v>
      </c>
      <c r="AR31" s="1188">
        <f>IF(ISNUMBER((Datos!P31-Datos!Q31)/(Datos!R31-Datos!P31+Datos!Q31)),(Datos!P31-Datos!Q31)/(Datos!R31-Datos!P31+Datos!Q31)," - ")</f>
        <v>-5.5970149253731345E-2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28.571428571428573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49.574186831454938</v>
      </c>
      <c r="G33" s="277">
        <f>IF(ISNUMBER(STDEV(G8:G30)),STDEV(G8:G30),"-")</f>
        <v>47.144660860155177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38.551758652986187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10.337172865786025</v>
      </c>
      <c r="AJ33" s="276">
        <f t="shared" si="25"/>
        <v>0</v>
      </c>
      <c r="AK33" s="278">
        <f t="shared" si="25"/>
        <v>0</v>
      </c>
      <c r="AL33" s="273">
        <f t="shared" si="25"/>
        <v>0.11449100325977447</v>
      </c>
      <c r="AM33" s="274">
        <f t="shared" si="25"/>
        <v>0.64603750999790543</v>
      </c>
      <c r="AN33" s="274">
        <f t="shared" si="25"/>
        <v>0.10572020971253876</v>
      </c>
      <c r="AO33" s="275">
        <f t="shared" si="25"/>
        <v>0.21095277454234426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zIWsPp/20rzdIzXOlvilYGvo9n/WyPio7yjg/zPF+qSjsw1MWnnf+CFzVF1ucZe2QHl/eufTKzK6yyvmjJfQQ==" saltValue="Tggsww789BgWqan3rpbr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VITIGUDINO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9.5238095238095233E-2</v>
      </c>
      <c r="I12" s="395">
        <f>IF(ISNUMBER((Tasas!C12-Datos!BE12)/Datos!BE12),(Tasas!C12-Datos!BE12)/Datos!BE12," - ")</f>
        <v>-0.19247679531021014</v>
      </c>
      <c r="J12" s="394">
        <f>IF(ISNUMBER((Tasas!D12-Datos!BF12)/Datos!BF12),(Tasas!D12-Datos!BF12)/Datos!BF12," - ")</f>
        <v>-0.35762439807383622</v>
      </c>
      <c r="K12" s="396">
        <f>IF(ISNUMBER((Tasas!E12-Datos!BG12)/Datos!BG12),(Tasas!E12-Datos!BG12)/Datos!BG12," - ")</f>
        <v>-0.1095783735676938</v>
      </c>
      <c r="M12" t="e">
        <f>IF(Monitorios="SI",Datos!CE12,0)</f>
        <v>#REF!</v>
      </c>
      <c r="N12" t="e">
        <f>IF(Monitorios="SI",Datos!CF12,0)</f>
        <v>#REF!</v>
      </c>
      <c r="O12" t="e">
        <f>IF(Monitorios="SI",Datos!CG12,0)</f>
        <v>#REF!</v>
      </c>
      <c r="P12" t="e">
        <f>IF(Monitorios="SI",Datos!CH12,0)</f>
        <v>#REF!</v>
      </c>
      <c r="Q12">
        <f>IF(J_V="SI",0,Datos!AG12)</f>
        <v>2</v>
      </c>
      <c r="R12">
        <f>IF(J_V="SI",0,Datos!AH12)</f>
        <v>9</v>
      </c>
      <c r="S12">
        <f>IF(J_V="SI",0,Datos!AI12)</f>
        <v>8</v>
      </c>
      <c r="T12">
        <f>IF(J_V="SI",0,Datos!AJ12)</f>
        <v>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9.5238095238095233E-2</v>
      </c>
      <c r="I14" s="402">
        <f>IF(ISNUMBER((Tasas!C14-Datos!BE14)/Datos!BE14),(Tasas!C14-Datos!BE14)/Datos!BE14," - ")</f>
        <v>-0.19247679531021014</v>
      </c>
      <c r="J14" s="400">
        <f>IF(ISNUMBER((Tasas!D14-Datos!BF14)/Datos!BF14),(Tasas!D14-Datos!BF14)/Datos!BF14," - ")</f>
        <v>-0.35762439807383622</v>
      </c>
      <c r="K14" s="403">
        <f>IF(ISNUMBER((Tasas!E14-Datos!BG14)/Datos!BG14),(Tasas!E14-Datos!BG14)/Datos!BG14," - ")</f>
        <v>-0.1095783735676938</v>
      </c>
      <c r="M14" t="e">
        <f>IF(Monitorios="SI",Datos!CE14,0)</f>
        <v>#REF!</v>
      </c>
      <c r="N14" t="e">
        <f>IF(Monitorios="SI",Datos!CF14,0)</f>
        <v>#REF!</v>
      </c>
      <c r="O14" t="e">
        <f>IF(Monitorios="SI",Datos!CG14,0)</f>
        <v>#REF!</v>
      </c>
      <c r="P14" t="e">
        <f>IF(Monitorios="SI",Datos!CH14,0)</f>
        <v>#REF!</v>
      </c>
      <c r="Q14">
        <f>IF(J_V="SI",0,Datos!AG14)</f>
        <v>2</v>
      </c>
      <c r="R14">
        <f>IF(J_V="SI",0,Datos!AH14)</f>
        <v>9</v>
      </c>
      <c r="S14">
        <f>IF(J_V="SI",0,Datos!AI14)</f>
        <v>8</v>
      </c>
      <c r="T14">
        <f>IF(J_V="SI",0,Datos!AJ14)</f>
        <v>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-0.14414414414414414</v>
      </c>
      <c r="E17" s="393">
        <f>IF(ISNUMBER(
   IF(D_I="SI",(Datos!J17-Datos!T17)/Datos!T17,(Datos!J17+Datos!AD17-(Datos!T17+Datos!AL17))/(Datos!T17+Datos!AL17))
     ),IF(D_I="SI",(Datos!J17-Datos!T17)/Datos!T17,(Datos!J17+Datos!AD17-(Datos!T17+Datos!AL17))/(Datos!T17+Datos!AL17))," - ")</f>
        <v>0.54166666666666663</v>
      </c>
      <c r="F17" s="393">
        <f>IF(ISNUMBER(
   IF(D_I="SI",(Datos!K17-Datos!U17)/Datos!U17,(Datos!K17+Datos!AE17-(Datos!U17+Datos!AM17))/(Datos!U17+Datos!AM17))
     ),IF(D_I="SI",(Datos!K17-Datos!U17)/Datos!U17,(Datos!K17+Datos!AE17-(Datos!U17+Datos!AM17))/(Datos!U17+Datos!AM17))," - ")</f>
        <v>0.4</v>
      </c>
      <c r="G17" s="394">
        <f>IF(ISNUMBER(
   IF(D_I="SI",(Datos!L17-Datos!V17)/Datos!V17,(Datos!L17+Datos!AF17-(Datos!V17+Datos!AN17))/(Datos!V17+Datos!AN17))
     ),IF(D_I="SI",(Datos!L17-Datos!V17)/Datos!V17,(Datos!L17+Datos!AF17-(Datos!V17+Datos!AN17))/(Datos!V17+Datos!AN17))," - ")</f>
        <v>-0.10576923076923077</v>
      </c>
      <c r="H17" s="244">
        <f>IF(ISNUMBER((Datos!M17-Datos!W17)/Datos!W17),(Datos!M17-Datos!W17)/Datos!W17," - ")</f>
        <v>0.625</v>
      </c>
      <c r="I17" s="395">
        <f>IF(ISNUMBER((Tasas!C17-Datos!BE17)/Datos!BE17),(Tasas!C17-Datos!BE17)/Datos!BE17," - ")</f>
        <v>-0.3612637362637362</v>
      </c>
      <c r="J17" s="394">
        <f>IF(ISNUMBER((Tasas!D17-Datos!BF17)/Datos!BF17),(Tasas!D17-Datos!BF17)/Datos!BF17," - ")</f>
        <v>0.16071428571428578</v>
      </c>
      <c r="K17" s="396">
        <f>IF(ISNUMBER((Tasas!E17-Datos!BG17)/Datos!BG17),(Tasas!E17-Datos!BG17)/Datos!BG17," - ")</f>
        <v>-0.24079065588499557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v>
      </c>
      <c r="E18" s="393" t="str">
        <f>IF(ISNUMBER(
   IF(D_I="SI",(Datos!J18-Datos!T18)/Datos!T18,(Datos!J18+Datos!AD18-(Datos!T18+Datos!AL18))/(Datos!T18+Datos!AL18))
     ),IF(D_I="SI",(Datos!J18-Datos!T18)/Datos!T18,(Datos!J18+Datos!AD18-(Datos!T18+Datos!AL18))/(Datos!T18+Datos!AL18))," - ")</f>
        <v xml:space="preserve"> - </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3</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-0.10714285714285714</v>
      </c>
      <c r="E23" s="399">
        <f>IF(ISNUMBER(
   IF(D_I="SI",(Datos!J23-Datos!T23)/Datos!T23,(Datos!J23+Datos!AD23-(Datos!T23+Datos!AL23))/(Datos!T23+Datos!AL23))
     ),IF(D_I="SI",(Datos!J23-Datos!T23)/Datos!T23,(Datos!J23+Datos!AD23-(Datos!T23+Datos!AL23))/(Datos!T23+Datos!AL23))," - ")</f>
        <v>0.64583333333333337</v>
      </c>
      <c r="F23" s="399">
        <f>IF(ISNUMBER(
   IF(D_I="SI",(Datos!K23-Datos!U23)/Datos!U23,(Datos!K23+Datos!AE23-(Datos!U23+Datos!AM23))/(Datos!U23+Datos!AM23))
     ),IF(D_I="SI",(Datos!K23-Datos!U23)/Datos!U23,(Datos!K23+Datos!AE23-(Datos!U23+Datos!AM23))/(Datos!U23+Datos!AM23))," - ")</f>
        <v>0.50909090909090904</v>
      </c>
      <c r="G23" s="400">
        <f>IF(ISNUMBER(
   IF(D_I="SI",(Datos!L23-Datos!V23)/Datos!V23,(Datos!L23+Datos!AF23-(Datos!V23+Datos!AN23))/(Datos!V23+Datos!AN23))
     ),IF(D_I="SI",(Datos!L23-Datos!V23)/Datos!V23,(Datos!L23+Datos!AF23-(Datos!V23+Datos!AN23))/(Datos!V23+Datos!AN23))," - ")</f>
        <v>-7.6190476190476197E-2</v>
      </c>
      <c r="H23" s="401">
        <f>IF(ISNUMBER((Datos!M23-Datos!W23)/Datos!W23),(Datos!M23-Datos!W23)/Datos!W23," - ")</f>
        <v>0.625</v>
      </c>
      <c r="I23" s="402">
        <f>IF(ISNUMBER((Tasas!C23-Datos!BE23)/Datos!BE23),(Tasas!C23-Datos!BE23)/Datos!BE23," - ")</f>
        <v>-0.3878370625358577</v>
      </c>
      <c r="J23" s="400">
        <f>IF(ISNUMBER((Tasas!D23-Datos!BF23)/Datos!BF23),(Tasas!D23-Datos!BF23)/Datos!BF23," - ")</f>
        <v>7.6807228915662731E-2</v>
      </c>
      <c r="K23" s="403">
        <f>IF(ISNUMBER((Tasas!E23-Datos!BG23)/Datos!BG23),(Tasas!E23-Datos!BG23)/Datos!BG23," - ")</f>
        <v>-0.25865963855421681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-8.15450643776824E-2</v>
      </c>
      <c r="E31" s="409">
        <f>IF(ISNUMBER(
   IF(J_V="SI",(Datos!J31-Datos!T31)/Datos!T31,(Datos!J31+Datos!Z31-(Datos!T31+Datos!AH31))/(Datos!T31+Datos!AH31))
     ),IF(J_V="SI",(Datos!J31-Datos!T31)/Datos!T31,(Datos!J31+Datos!Z31-(Datos!T31+Datos!AH31))/(Datos!T31+Datos!AH31))," - ")</f>
        <v>0.15503875968992248</v>
      </c>
      <c r="F31" s="409">
        <f>IF(ISNUMBER(
   IF(J_V="SI",(Datos!K31-Datos!U31)/Datos!U31,(Datos!K31+Datos!AA31-(Datos!U31+Datos!AI31))/(Datos!U31+Datos!AI31))
     ),IF(J_V="SI",(Datos!K31-Datos!U31)/Datos!U31,(Datos!K31+Datos!AA31-(Datos!U31+Datos!AI31))/(Datos!U31+Datos!AI31))," - ")</f>
        <v>0.21126760563380281</v>
      </c>
      <c r="G31" s="410">
        <f>IF(ISNUMBER(
   IF(J_V="SI",(Datos!L31-Datos!V31)/Datos!V31,(Datos!L31+Datos!AB31-(Datos!V31+Datos!AJ31))/(Datos!V31+Datos!AJ31))
     ),IF(J_V="SI",(Datos!L31-Datos!V31)/Datos!V31,(Datos!L31+Datos!AB31-(Datos!V31+Datos!AJ31))/(Datos!V31+Datos!AJ31))," - ")</f>
        <v>-0.12727272727272726</v>
      </c>
      <c r="H31" s="411">
        <f>IF(ISNUMBER((Datos!M31-Datos!W31)/Datos!W31),(Datos!M31-Datos!W31)/Datos!W31," - ")</f>
        <v>0.2413793103448276</v>
      </c>
      <c r="I31" s="408">
        <f>IF(ISNUMBER((Tasas!C31-Datos!BE31)/Datos!BE31),(Tasas!C31-Datos!BE31)/Datos!BE31," - ")</f>
        <v>-0.27949260042283297</v>
      </c>
      <c r="J31" s="409">
        <f>IF(ISNUMBER((Tasas!D31-Datos!BF31)/Datos!BF31),(Tasas!D31-Datos!BF31)/Datos!BF31," - ")</f>
        <v>-0.30881557598701992</v>
      </c>
      <c r="K31" s="410">
        <f>IF(ISNUMBER((Tasas!E31-Datos!BG31)/Datos!BG31),(Tasas!E31-Datos!BG31)/Datos!BG31," - ")</f>
        <v>-0.17213799306180133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2.3820132322492653</v>
      </c>
      <c r="E33" s="303">
        <f t="shared" si="1"/>
        <v>7.3656956373598759E-2</v>
      </c>
      <c r="F33" s="303">
        <f t="shared" si="1"/>
        <v>7.7138921583986983E-2</v>
      </c>
      <c r="G33" s="304">
        <f t="shared" si="1"/>
        <v>1.7846393315980458</v>
      </c>
      <c r="H33" s="310">
        <f t="shared" si="1"/>
        <v>0.30585817832069462</v>
      </c>
      <c r="I33" s="302">
        <f t="shared" si="1"/>
        <v>0.10567855055269224</v>
      </c>
      <c r="J33" s="303">
        <f t="shared" si="1"/>
        <v>0.27716602326952272</v>
      </c>
      <c r="K33" s="304">
        <f t="shared" si="1"/>
        <v>8.1241960496319918E-2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X6lc3LE+Qizj63+nd2etyBMAM/x0R+7+pAiSCduzEU/TjWQzI/M0CBh5dBwji9ubzEWXyrkLLm0AwoYY77PCQ==" saltValue="d2SzlkGLvw7imAXP+fVI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